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tabRatio="705" activeTab="0"/>
  </bookViews>
  <sheets>
    <sheet name="保額保費計算" sheetId="1" r:id="rId1"/>
    <sheet name="勞保保額分級分攤表" sheetId="2" r:id="rId2"/>
    <sheet name="健保保額分級分攤表" sheetId="3" r:id="rId3"/>
    <sheet name="勞工退休金月提繳工分級表" sheetId="4" r:id="rId4"/>
    <sheet name="工作表1 (2)" sheetId="5" state="hidden" r:id="rId5"/>
  </sheets>
  <definedNames>
    <definedName name="_xlnm.Print_Area" localSheetId="4">'工作表1 (2)'!$A$111:$Q$130</definedName>
    <definedName name="_xlnm.Print_Area" localSheetId="0">'保額保費計算'!$A$1:$F$11</definedName>
    <definedName name="一般外籍人士">'保額保費計算'!$E$3</definedName>
    <definedName name="一般教職員自付額">'保額保費計算'!$C$17</definedName>
    <definedName name="一般教職員校付額">'保額保費計算'!$D$17</definedName>
    <definedName name="月提繳工資">'保額保費計算'!$D$26</definedName>
    <definedName name="身份別">'保額保費計算'!$D$3</definedName>
    <definedName name="非一般教職員自付額">'保額保費計算'!$C$18</definedName>
    <definedName name="非一般教職員校付額">'保額保費計算'!$D$18</definedName>
    <definedName name="是否超過65歲">'保額保費計算'!$B$3</definedName>
    <definedName name="健保自付額">'保額保費計算'!$E$22</definedName>
    <definedName name="健保保額">'保額保費計算'!$F$20</definedName>
    <definedName name="健保校付額">'保額保費計算'!$F$22</definedName>
    <definedName name="勞工退休金提撥金額">'保額保費計算'!$D$28</definedName>
    <definedName name="勞保自付額">'保額保費計算'!$A$22</definedName>
    <definedName name="勞保保額">'保額保費計算'!$B$20</definedName>
    <definedName name="勞保校付額">'保額保費計算'!$B$22</definedName>
    <definedName name="與本國人結婚之外籍人士">'保額保費計算'!#REF!</definedName>
  </definedNames>
  <calcPr fullCalcOnLoad="1"/>
</workbook>
</file>

<file path=xl/sharedStrings.xml><?xml version="1.0" encoding="utf-8"?>
<sst xmlns="http://schemas.openxmlformats.org/spreadsheetml/2006/main" count="1226" uniqueCount="576">
  <si>
    <t>YES</t>
  </si>
  <si>
    <t>NO</t>
  </si>
  <si>
    <r>
      <rPr>
        <sz val="10"/>
        <color indexed="8"/>
        <rFont val="新細明體"/>
        <family val="1"/>
      </rPr>
      <t>身分別</t>
    </r>
  </si>
  <si>
    <r>
      <rPr>
        <sz val="10"/>
        <color indexed="8"/>
        <rFont val="新細明體"/>
        <family val="1"/>
      </rPr>
      <t>身分證字號</t>
    </r>
  </si>
  <si>
    <r>
      <rPr>
        <sz val="10"/>
        <color indexed="8"/>
        <rFont val="新細明體"/>
        <family val="1"/>
      </rPr>
      <t>姓名</t>
    </r>
  </si>
  <si>
    <r>
      <rPr>
        <sz val="10"/>
        <color indexed="8"/>
        <rFont val="新細明體"/>
        <family val="1"/>
      </rPr>
      <t>會計</t>
    </r>
    <r>
      <rPr>
        <sz val="10"/>
        <color indexed="8"/>
        <rFont val="Arial"/>
        <family val="2"/>
      </rPr>
      <t>(</t>
    </r>
    <r>
      <rPr>
        <sz val="10"/>
        <color indexed="8"/>
        <rFont val="新細明體"/>
        <family val="1"/>
      </rPr>
      <t>計畫</t>
    </r>
    <r>
      <rPr>
        <sz val="10"/>
        <color indexed="8"/>
        <rFont val="Arial"/>
        <family val="2"/>
      </rPr>
      <t>)</t>
    </r>
    <r>
      <rPr>
        <sz val="10"/>
        <color indexed="8"/>
        <rFont val="新細明體"/>
        <family val="1"/>
      </rPr>
      <t>編號</t>
    </r>
  </si>
  <si>
    <r>
      <rPr>
        <sz val="10"/>
        <color indexed="8"/>
        <rFont val="新細明體"/>
        <family val="1"/>
      </rPr>
      <t>會計</t>
    </r>
    <r>
      <rPr>
        <sz val="10"/>
        <color indexed="8"/>
        <rFont val="Arial"/>
        <family val="2"/>
      </rPr>
      <t>(</t>
    </r>
    <r>
      <rPr>
        <sz val="10"/>
        <color indexed="8"/>
        <rFont val="新細明體"/>
        <family val="1"/>
      </rPr>
      <t>計畫</t>
    </r>
    <r>
      <rPr>
        <sz val="10"/>
        <color indexed="8"/>
        <rFont val="Arial"/>
        <family val="2"/>
      </rPr>
      <t>)</t>
    </r>
    <r>
      <rPr>
        <sz val="10"/>
        <color indexed="8"/>
        <rFont val="新細明體"/>
        <family val="1"/>
      </rPr>
      <t>名稱</t>
    </r>
  </si>
  <si>
    <r>
      <rPr>
        <sz val="10"/>
        <color indexed="8"/>
        <rFont val="新細明體"/>
        <family val="1"/>
      </rPr>
      <t>經費來源</t>
    </r>
  </si>
  <si>
    <r>
      <rPr>
        <sz val="10"/>
        <color indexed="8"/>
        <rFont val="新細明體"/>
        <family val="1"/>
      </rPr>
      <t>勞保校付小計</t>
    </r>
  </si>
  <si>
    <r>
      <rPr>
        <sz val="10"/>
        <color indexed="8"/>
        <rFont val="新細明體"/>
        <family val="1"/>
      </rPr>
      <t>勞保自付小計</t>
    </r>
  </si>
  <si>
    <r>
      <rPr>
        <sz val="10"/>
        <color indexed="8"/>
        <rFont val="新細明體"/>
        <family val="1"/>
      </rPr>
      <t>勞退</t>
    </r>
    <r>
      <rPr>
        <sz val="10"/>
        <color indexed="8"/>
        <rFont val="Arial"/>
        <family val="2"/>
      </rPr>
      <t>/</t>
    </r>
    <r>
      <rPr>
        <sz val="10"/>
        <color indexed="8"/>
        <rFont val="新細明體"/>
        <family val="1"/>
      </rPr>
      <t>墊償校付小計</t>
    </r>
  </si>
  <si>
    <r>
      <rPr>
        <sz val="10"/>
        <color indexed="8"/>
        <rFont val="新細明體"/>
        <family val="1"/>
      </rPr>
      <t>勞退</t>
    </r>
    <r>
      <rPr>
        <sz val="10"/>
        <color indexed="8"/>
        <rFont val="Arial"/>
        <family val="2"/>
      </rPr>
      <t>/</t>
    </r>
    <r>
      <rPr>
        <sz val="10"/>
        <color indexed="8"/>
        <rFont val="新細明體"/>
        <family val="1"/>
      </rPr>
      <t>墊償自付小計</t>
    </r>
  </si>
  <si>
    <r>
      <rPr>
        <sz val="10"/>
        <color indexed="8"/>
        <rFont val="新細明體"/>
        <family val="1"/>
      </rPr>
      <t>健保校付小計</t>
    </r>
  </si>
  <si>
    <r>
      <rPr>
        <sz val="10"/>
        <color indexed="8"/>
        <rFont val="新細明體"/>
        <family val="1"/>
      </rPr>
      <t>健保自付小計</t>
    </r>
  </si>
  <si>
    <t>A125540006</t>
  </si>
  <si>
    <t>A0107025</t>
  </si>
  <si>
    <t>F128309744</t>
  </si>
  <si>
    <r>
      <rPr>
        <b/>
        <sz val="10"/>
        <color indexed="8"/>
        <rFont val="新細明體"/>
        <family val="1"/>
      </rPr>
      <t>小計</t>
    </r>
  </si>
  <si>
    <r>
      <rPr>
        <b/>
        <sz val="10"/>
        <color indexed="8"/>
        <rFont val="新細明體"/>
        <family val="1"/>
      </rPr>
      <t>總計</t>
    </r>
  </si>
  <si>
    <t>臨時助理</t>
  </si>
  <si>
    <t>A229487155</t>
  </si>
  <si>
    <t>F229539435</t>
  </si>
  <si>
    <t>H124734225</t>
  </si>
  <si>
    <t>A0107133</t>
  </si>
  <si>
    <t>U221739748</t>
  </si>
  <si>
    <t>J222912288</t>
  </si>
  <si>
    <t>H220085876</t>
  </si>
  <si>
    <t>A0107147</t>
  </si>
  <si>
    <t>A01整體款</t>
  </si>
  <si>
    <t>R220027906</t>
  </si>
  <si>
    <t>T220011008</t>
  </si>
  <si>
    <t>A121735018</t>
  </si>
  <si>
    <t>A0107147</t>
  </si>
  <si>
    <t>F228775071</t>
  </si>
  <si>
    <t>P120757094</t>
  </si>
  <si>
    <t>OC00125919</t>
  </si>
  <si>
    <t>AC30105520</t>
  </si>
  <si>
    <t>StudiesonCentralandEasEuropeMissionarySinology</t>
  </si>
  <si>
    <t>P124088303</t>
  </si>
  <si>
    <r>
      <rPr>
        <sz val="10"/>
        <color indexed="8"/>
        <rFont val="新細明體"/>
        <family val="1"/>
      </rPr>
      <t>臨時助理</t>
    </r>
  </si>
  <si>
    <r>
      <rPr>
        <sz val="10"/>
        <color indexed="8"/>
        <rFont val="新細明體"/>
        <family val="1"/>
      </rPr>
      <t>陳文傑</t>
    </r>
  </si>
  <si>
    <r>
      <rPr>
        <sz val="10"/>
        <color indexed="8"/>
        <rFont val="新細明體"/>
        <family val="1"/>
      </rPr>
      <t>論英國金融業高階管理人員及認證制度</t>
    </r>
  </si>
  <si>
    <r>
      <t>A01</t>
    </r>
    <r>
      <rPr>
        <sz val="10"/>
        <color indexed="8"/>
        <rFont val="新細明體"/>
        <family val="1"/>
      </rPr>
      <t>整體款</t>
    </r>
  </si>
  <si>
    <r>
      <rPr>
        <sz val="10"/>
        <color indexed="8"/>
        <rFont val="新細明體"/>
        <family val="1"/>
      </rPr>
      <t>柯惟升</t>
    </r>
    <r>
      <rPr>
        <sz val="10"/>
        <color indexed="8"/>
        <rFont val="Arial"/>
        <family val="2"/>
      </rPr>
      <t xml:space="preserve">              </t>
    </r>
  </si>
  <si>
    <r>
      <rPr>
        <sz val="10"/>
        <color indexed="8"/>
        <rFont val="新細明體"/>
        <family val="1"/>
      </rPr>
      <t>幸福餐桌一家庭共餐食品品質維護技術</t>
    </r>
  </si>
  <si>
    <r>
      <rPr>
        <sz val="10"/>
        <color indexed="8"/>
        <rFont val="新細明體"/>
        <family val="1"/>
      </rPr>
      <t>一般</t>
    </r>
    <r>
      <rPr>
        <sz val="10"/>
        <color indexed="8"/>
        <rFont val="Arial"/>
        <family val="2"/>
      </rPr>
      <t>_</t>
    </r>
    <r>
      <rPr>
        <sz val="10"/>
        <color indexed="8"/>
        <rFont val="新細明體"/>
        <family val="1"/>
      </rPr>
      <t>學校單位預算</t>
    </r>
    <r>
      <rPr>
        <sz val="10"/>
        <color indexed="8"/>
        <rFont val="Arial"/>
        <family val="2"/>
      </rPr>
      <t>-</t>
    </r>
    <r>
      <rPr>
        <sz val="10"/>
        <color indexed="8"/>
        <rFont val="新細明體"/>
        <family val="1"/>
      </rPr>
      <t>工讀助學生</t>
    </r>
  </si>
  <si>
    <r>
      <rPr>
        <sz val="10"/>
        <color indexed="8"/>
        <rFont val="新細明體"/>
        <family val="1"/>
      </rPr>
      <t>楊淑惠</t>
    </r>
  </si>
  <si>
    <r>
      <rPr>
        <sz val="10"/>
        <color indexed="8"/>
        <rFont val="新細明體"/>
        <family val="1"/>
      </rPr>
      <t>服務相招到陣來打造健康新五泰</t>
    </r>
  </si>
  <si>
    <r>
      <rPr>
        <sz val="10"/>
        <color indexed="8"/>
        <rFont val="新細明體"/>
        <family val="1"/>
      </rPr>
      <t>洪美琴</t>
    </r>
  </si>
  <si>
    <r>
      <rPr>
        <sz val="10"/>
        <color indexed="8"/>
        <rFont val="新細明體"/>
        <family val="1"/>
      </rPr>
      <t>羅孟茹</t>
    </r>
  </si>
  <si>
    <r>
      <rPr>
        <sz val="10"/>
        <color indexed="8"/>
        <rFont val="新細明體"/>
        <family val="1"/>
      </rPr>
      <t>史蒂芬</t>
    </r>
  </si>
  <si>
    <r>
      <t>4101-</t>
    </r>
    <r>
      <rPr>
        <sz val="10"/>
        <color indexed="8"/>
        <rFont val="細明體"/>
        <family val="3"/>
      </rPr>
      <t>教學</t>
    </r>
  </si>
  <si>
    <r>
      <rPr>
        <sz val="10"/>
        <color indexed="8"/>
        <rFont val="新細明體"/>
        <family val="1"/>
      </rPr>
      <t>顧孝永</t>
    </r>
  </si>
  <si>
    <r>
      <rPr>
        <sz val="10"/>
        <color indexed="8"/>
        <rFont val="新細明體"/>
        <family val="1"/>
      </rPr>
      <t>勞保健保勞退</t>
    </r>
    <r>
      <rPr>
        <sz val="10"/>
        <color indexed="8"/>
        <rFont val="Arial"/>
        <family val="2"/>
      </rPr>
      <t>(10810)—</t>
    </r>
    <r>
      <rPr>
        <b/>
        <u val="single"/>
        <sz val="10"/>
        <color indexed="14"/>
        <rFont val="Arial"/>
        <family val="2"/>
      </rPr>
      <t>10</t>
    </r>
    <r>
      <rPr>
        <b/>
        <u val="single"/>
        <sz val="10"/>
        <color indexed="14"/>
        <rFont val="新細明體"/>
        <family val="1"/>
      </rPr>
      <t>月保費僅供參考，以勞健保提報管理系統每月結帳金額為準</t>
    </r>
  </si>
  <si>
    <r>
      <t>10</t>
    </r>
    <r>
      <rPr>
        <sz val="10"/>
        <color indexed="8"/>
        <rFont val="細明體"/>
        <family val="3"/>
      </rPr>
      <t>月薪資</t>
    </r>
  </si>
  <si>
    <r>
      <t>7</t>
    </r>
    <r>
      <rPr>
        <sz val="10"/>
        <color indexed="8"/>
        <rFont val="細明體"/>
        <family val="3"/>
      </rPr>
      <t>月薪資</t>
    </r>
  </si>
  <si>
    <r>
      <rPr>
        <sz val="10"/>
        <color indexed="8"/>
        <rFont val="新細明體"/>
        <family val="1"/>
      </rPr>
      <t>林珈卉</t>
    </r>
  </si>
  <si>
    <r>
      <t>6</t>
    </r>
    <r>
      <rPr>
        <sz val="10"/>
        <color indexed="8"/>
        <rFont val="細明體"/>
        <family val="3"/>
      </rPr>
      <t>月薪資</t>
    </r>
  </si>
  <si>
    <r>
      <rPr>
        <sz val="10"/>
        <color indexed="8"/>
        <rFont val="新細明體"/>
        <family val="1"/>
      </rPr>
      <t>由蕃薯皮製備多酚化合物奈米乳化液</t>
    </r>
  </si>
  <si>
    <r>
      <t>5</t>
    </r>
    <r>
      <rPr>
        <sz val="10"/>
        <color indexed="8"/>
        <rFont val="細明體"/>
        <family val="3"/>
      </rPr>
      <t>科技部</t>
    </r>
  </si>
  <si>
    <t>專任助理</t>
  </si>
  <si>
    <t>G120173707</t>
  </si>
  <si>
    <t>潘天銘</t>
  </si>
  <si>
    <t>F200106-50</t>
  </si>
  <si>
    <t>建置中文天主教禮儀音樂資料庫與曲目研究</t>
  </si>
  <si>
    <t>0校內經費</t>
  </si>
  <si>
    <t>天主教學術研究院</t>
  </si>
  <si>
    <t>臨時/部分工時</t>
  </si>
  <si>
    <t>聖樂合唱團</t>
  </si>
  <si>
    <t>109D01-210127</t>
  </si>
  <si>
    <t>校牧室</t>
  </si>
  <si>
    <t>聖堂主日司琴</t>
  </si>
  <si>
    <r>
      <rPr>
        <sz val="10"/>
        <rFont val="微軟正黑體"/>
        <family val="2"/>
      </rPr>
      <t>身分別</t>
    </r>
  </si>
  <si>
    <r>
      <rPr>
        <sz val="10"/>
        <rFont val="微軟正黑體"/>
        <family val="2"/>
      </rPr>
      <t>姓名</t>
    </r>
  </si>
  <si>
    <r>
      <rPr>
        <sz val="10"/>
        <rFont val="微軟正黑體"/>
        <family val="2"/>
      </rPr>
      <t>會計</t>
    </r>
    <r>
      <rPr>
        <sz val="10"/>
        <rFont val="Arial"/>
        <family val="2"/>
      </rPr>
      <t>(</t>
    </r>
    <r>
      <rPr>
        <sz val="10"/>
        <rFont val="微軟正黑體"/>
        <family val="2"/>
      </rPr>
      <t>計畫</t>
    </r>
    <r>
      <rPr>
        <sz val="10"/>
        <rFont val="Arial"/>
        <family val="2"/>
      </rPr>
      <t>)</t>
    </r>
    <r>
      <rPr>
        <sz val="10"/>
        <rFont val="微軟正黑體"/>
        <family val="2"/>
      </rPr>
      <t>編號</t>
    </r>
  </si>
  <si>
    <r>
      <rPr>
        <sz val="10"/>
        <rFont val="微軟正黑體"/>
        <family val="2"/>
      </rPr>
      <t>會計</t>
    </r>
    <r>
      <rPr>
        <sz val="10"/>
        <rFont val="Arial"/>
        <family val="2"/>
      </rPr>
      <t>(</t>
    </r>
    <r>
      <rPr>
        <sz val="10"/>
        <rFont val="微軟正黑體"/>
        <family val="2"/>
      </rPr>
      <t>計畫</t>
    </r>
    <r>
      <rPr>
        <sz val="10"/>
        <rFont val="Arial"/>
        <family val="2"/>
      </rPr>
      <t>)</t>
    </r>
    <r>
      <rPr>
        <sz val="10"/>
        <rFont val="微軟正黑體"/>
        <family val="2"/>
      </rPr>
      <t>名稱</t>
    </r>
  </si>
  <si>
    <r>
      <rPr>
        <sz val="10"/>
        <rFont val="微軟正黑體"/>
        <family val="2"/>
      </rPr>
      <t>經費來源</t>
    </r>
  </si>
  <si>
    <r>
      <rPr>
        <sz val="10"/>
        <rFont val="微軟正黑體"/>
        <family val="2"/>
      </rPr>
      <t>申請單位</t>
    </r>
  </si>
  <si>
    <r>
      <rPr>
        <sz val="10"/>
        <rFont val="微軟正黑體"/>
        <family val="2"/>
      </rPr>
      <t>勞保校付總額</t>
    </r>
  </si>
  <si>
    <r>
      <rPr>
        <sz val="10"/>
        <rFont val="微軟正黑體"/>
        <family val="2"/>
      </rPr>
      <t>勞保自付總額</t>
    </r>
  </si>
  <si>
    <r>
      <rPr>
        <sz val="10"/>
        <rFont val="微軟正黑體"/>
        <family val="2"/>
      </rPr>
      <t>勞退校付總額</t>
    </r>
  </si>
  <si>
    <r>
      <rPr>
        <sz val="10"/>
        <rFont val="微軟正黑體"/>
        <family val="2"/>
      </rPr>
      <t>勞退自付總額</t>
    </r>
  </si>
  <si>
    <r>
      <rPr>
        <sz val="10"/>
        <rFont val="微軟正黑體"/>
        <family val="2"/>
      </rPr>
      <t>健保校付總額</t>
    </r>
  </si>
  <si>
    <r>
      <rPr>
        <sz val="10"/>
        <rFont val="微軟正黑體"/>
        <family val="2"/>
      </rPr>
      <t>健保自付總額</t>
    </r>
  </si>
  <si>
    <r>
      <rPr>
        <sz val="10"/>
        <rFont val="微軟正黑體"/>
        <family val="2"/>
      </rPr>
      <t>備註</t>
    </r>
  </si>
  <si>
    <t>8月保費-專助F200106-50</t>
  </si>
  <si>
    <r>
      <rPr>
        <sz val="10"/>
        <rFont val="新細明體"/>
        <family val="1"/>
      </rPr>
      <t>勞保校付小計</t>
    </r>
  </si>
  <si>
    <r>
      <rPr>
        <sz val="10"/>
        <rFont val="新細明體"/>
        <family val="1"/>
      </rPr>
      <t>勞保自付小計</t>
    </r>
  </si>
  <si>
    <r>
      <rPr>
        <sz val="10"/>
        <rFont val="新細明體"/>
        <family val="1"/>
      </rPr>
      <t>勞退</t>
    </r>
    <r>
      <rPr>
        <sz val="10"/>
        <rFont val="Arial"/>
        <family val="2"/>
      </rPr>
      <t>/</t>
    </r>
    <r>
      <rPr>
        <sz val="10"/>
        <rFont val="新細明體"/>
        <family val="1"/>
      </rPr>
      <t>墊償校付小計</t>
    </r>
  </si>
  <si>
    <r>
      <rPr>
        <sz val="10"/>
        <rFont val="新細明體"/>
        <family val="1"/>
      </rPr>
      <t>勞退</t>
    </r>
    <r>
      <rPr>
        <sz val="10"/>
        <rFont val="Arial"/>
        <family val="2"/>
      </rPr>
      <t>/</t>
    </r>
    <r>
      <rPr>
        <sz val="10"/>
        <rFont val="新細明體"/>
        <family val="1"/>
      </rPr>
      <t>墊償自付小計</t>
    </r>
  </si>
  <si>
    <r>
      <rPr>
        <sz val="10"/>
        <rFont val="新細明體"/>
        <family val="1"/>
      </rPr>
      <t>健保校付小計</t>
    </r>
  </si>
  <si>
    <r>
      <rPr>
        <sz val="10"/>
        <rFont val="新細明體"/>
        <family val="1"/>
      </rPr>
      <t>健保自付小計</t>
    </r>
  </si>
  <si>
    <r>
      <rPr>
        <sz val="10"/>
        <color indexed="8"/>
        <rFont val="微軟正黑體"/>
        <family val="2"/>
      </rPr>
      <t>潘天銘</t>
    </r>
  </si>
  <si>
    <r>
      <rPr>
        <sz val="10"/>
        <color indexed="8"/>
        <rFont val="微軟正黑體"/>
        <family val="2"/>
      </rPr>
      <t>聖堂主日司琴</t>
    </r>
  </si>
  <si>
    <r>
      <rPr>
        <sz val="10"/>
        <color indexed="8"/>
        <rFont val="微軟正黑體"/>
        <family val="2"/>
      </rPr>
      <t>校牧室</t>
    </r>
  </si>
  <si>
    <t>1教育部補助款</t>
  </si>
  <si>
    <t>L224730552</t>
  </si>
  <si>
    <t>莊佳涵</t>
  </si>
  <si>
    <t>博物館社會參與實踐</t>
  </si>
  <si>
    <t>6政府產學</t>
  </si>
  <si>
    <t>無形文化資產纏花工藝技藝匠師培育計畫</t>
  </si>
  <si>
    <r>
      <rPr>
        <sz val="10"/>
        <color indexed="8"/>
        <rFont val="細明體"/>
        <family val="3"/>
      </rPr>
      <t>未核發</t>
    </r>
  </si>
  <si>
    <r>
      <rPr>
        <sz val="10"/>
        <color indexed="8"/>
        <rFont val="細明體"/>
        <family val="3"/>
      </rPr>
      <t>待核發</t>
    </r>
  </si>
  <si>
    <r>
      <rPr>
        <sz val="10"/>
        <color indexed="8"/>
        <rFont val="新細明體"/>
        <family val="1"/>
      </rPr>
      <t>張正道</t>
    </r>
  </si>
  <si>
    <r>
      <rPr>
        <sz val="10"/>
        <color indexed="8"/>
        <rFont val="細明體"/>
        <family val="3"/>
      </rPr>
      <t>兼任教師</t>
    </r>
  </si>
  <si>
    <r>
      <rPr>
        <sz val="10"/>
        <color indexed="8"/>
        <rFont val="細明體"/>
        <family val="3"/>
      </rPr>
      <t>專任助理</t>
    </r>
  </si>
  <si>
    <r>
      <rPr>
        <sz val="10"/>
        <color indexed="8"/>
        <rFont val="細明體"/>
        <family val="3"/>
      </rPr>
      <t>跨文化研究所</t>
    </r>
  </si>
  <si>
    <r>
      <rPr>
        <sz val="10"/>
        <color indexed="8"/>
        <rFont val="微軟正黑體"/>
        <family val="2"/>
      </rPr>
      <t>臨時</t>
    </r>
    <r>
      <rPr>
        <sz val="10"/>
        <color indexed="8"/>
        <rFont val="Arial"/>
        <family val="2"/>
      </rPr>
      <t>/</t>
    </r>
    <r>
      <rPr>
        <sz val="10"/>
        <color indexed="8"/>
        <rFont val="微軟正黑體"/>
        <family val="2"/>
      </rPr>
      <t>部分工時</t>
    </r>
  </si>
  <si>
    <t>9/1-9/30</t>
  </si>
  <si>
    <t>F130315207</t>
  </si>
  <si>
    <t>林君龍</t>
  </si>
  <si>
    <t>109年度招收及輔導身心障礙學生工作計畫</t>
  </si>
  <si>
    <t>衛保組資源教室</t>
  </si>
  <si>
    <t>一般_學校單位預算-工讀助學生</t>
  </si>
  <si>
    <t>會計室</t>
  </si>
  <si>
    <t>9/14-9/30</t>
  </si>
  <si>
    <r>
      <t>7</t>
    </r>
    <r>
      <rPr>
        <sz val="10"/>
        <color indexed="8"/>
        <rFont val="細明體"/>
        <family val="3"/>
      </rPr>
      <t>月薪資</t>
    </r>
  </si>
  <si>
    <t>9/1-9/13</t>
  </si>
  <si>
    <t>462-200=262</t>
  </si>
  <si>
    <t>929*7500/28040=248</t>
  </si>
  <si>
    <t>929*20540/28040=681</t>
  </si>
  <si>
    <t>262*7500/28040=70</t>
  </si>
  <si>
    <t>262*20540/28040=192</t>
  </si>
  <si>
    <t>1261-546=715</t>
  </si>
  <si>
    <t>715*20540/28040=524</t>
  </si>
  <si>
    <t>715*7500/28040=191</t>
  </si>
  <si>
    <t>1639-710=929</t>
  </si>
  <si>
    <r>
      <rPr>
        <b/>
        <sz val="10"/>
        <rFont val="微軟正黑體"/>
        <family val="2"/>
      </rPr>
      <t>身分別</t>
    </r>
  </si>
  <si>
    <r>
      <rPr>
        <b/>
        <sz val="10"/>
        <rFont val="微軟正黑體"/>
        <family val="2"/>
      </rPr>
      <t>姓名</t>
    </r>
  </si>
  <si>
    <r>
      <rPr>
        <b/>
        <sz val="10"/>
        <rFont val="微軟正黑體"/>
        <family val="2"/>
      </rPr>
      <t>會計</t>
    </r>
    <r>
      <rPr>
        <b/>
        <sz val="10"/>
        <rFont val="Arial"/>
        <family val="2"/>
      </rPr>
      <t>(</t>
    </r>
    <r>
      <rPr>
        <b/>
        <sz val="10"/>
        <rFont val="微軟正黑體"/>
        <family val="2"/>
      </rPr>
      <t>計畫</t>
    </r>
    <r>
      <rPr>
        <b/>
        <sz val="10"/>
        <rFont val="Arial"/>
        <family val="2"/>
      </rPr>
      <t>)</t>
    </r>
    <r>
      <rPr>
        <b/>
        <sz val="10"/>
        <rFont val="微軟正黑體"/>
        <family val="2"/>
      </rPr>
      <t>編號</t>
    </r>
  </si>
  <si>
    <r>
      <rPr>
        <b/>
        <sz val="10"/>
        <rFont val="微軟正黑體"/>
        <family val="2"/>
      </rPr>
      <t>會計</t>
    </r>
    <r>
      <rPr>
        <b/>
        <sz val="10"/>
        <rFont val="Arial"/>
        <family val="2"/>
      </rPr>
      <t>(</t>
    </r>
    <r>
      <rPr>
        <b/>
        <sz val="10"/>
        <rFont val="微軟正黑體"/>
        <family val="2"/>
      </rPr>
      <t>計畫</t>
    </r>
    <r>
      <rPr>
        <b/>
        <sz val="10"/>
        <rFont val="Arial"/>
        <family val="2"/>
      </rPr>
      <t>)</t>
    </r>
    <r>
      <rPr>
        <b/>
        <sz val="10"/>
        <rFont val="微軟正黑體"/>
        <family val="2"/>
      </rPr>
      <t>名稱</t>
    </r>
  </si>
  <si>
    <r>
      <rPr>
        <b/>
        <sz val="10"/>
        <rFont val="微軟正黑體"/>
        <family val="2"/>
      </rPr>
      <t>經費來源</t>
    </r>
  </si>
  <si>
    <r>
      <rPr>
        <b/>
        <sz val="10"/>
        <rFont val="微軟正黑體"/>
        <family val="2"/>
      </rPr>
      <t>申請單位</t>
    </r>
  </si>
  <si>
    <r>
      <rPr>
        <b/>
        <sz val="10"/>
        <rFont val="微軟正黑體"/>
        <family val="2"/>
      </rPr>
      <t>勞保校付總額</t>
    </r>
  </si>
  <si>
    <r>
      <rPr>
        <b/>
        <sz val="10"/>
        <rFont val="微軟正黑體"/>
        <family val="2"/>
      </rPr>
      <t>勞保自付總額</t>
    </r>
  </si>
  <si>
    <r>
      <rPr>
        <b/>
        <sz val="10"/>
        <rFont val="微軟正黑體"/>
        <family val="2"/>
      </rPr>
      <t>勞退校付總額</t>
    </r>
  </si>
  <si>
    <r>
      <rPr>
        <b/>
        <sz val="10"/>
        <rFont val="微軟正黑體"/>
        <family val="2"/>
      </rPr>
      <t>勞退自付總額</t>
    </r>
  </si>
  <si>
    <r>
      <rPr>
        <b/>
        <sz val="10"/>
        <rFont val="微軟正黑體"/>
        <family val="2"/>
      </rPr>
      <t>健保校付總額</t>
    </r>
  </si>
  <si>
    <r>
      <rPr>
        <b/>
        <sz val="10"/>
        <rFont val="微軟正黑體"/>
        <family val="2"/>
      </rPr>
      <t>健保自付總額</t>
    </r>
  </si>
  <si>
    <r>
      <rPr>
        <b/>
        <sz val="10"/>
        <rFont val="微軟正黑體"/>
        <family val="2"/>
      </rPr>
      <t>備註</t>
    </r>
  </si>
  <si>
    <r>
      <rPr>
        <b/>
        <sz val="10"/>
        <rFont val="微軟正黑體"/>
        <family val="2"/>
      </rPr>
      <t>身分證字號</t>
    </r>
  </si>
  <si>
    <r>
      <rPr>
        <sz val="10"/>
        <color indexed="8"/>
        <rFont val="新細明體"/>
        <family val="1"/>
      </rPr>
      <t>鄭瑩</t>
    </r>
  </si>
  <si>
    <r>
      <rPr>
        <sz val="10"/>
        <color indexed="8"/>
        <rFont val="細明體"/>
        <family val="3"/>
      </rPr>
      <t>生活輔導組</t>
    </r>
  </si>
  <si>
    <r>
      <t>17</t>
    </r>
    <r>
      <rPr>
        <sz val="10"/>
        <rFont val="細明體"/>
        <family val="3"/>
      </rPr>
      <t>天</t>
    </r>
  </si>
  <si>
    <r>
      <t>13</t>
    </r>
    <r>
      <rPr>
        <sz val="10"/>
        <rFont val="細明體"/>
        <family val="3"/>
      </rPr>
      <t>天</t>
    </r>
  </si>
  <si>
    <t>1639*15000/21000=1171</t>
  </si>
  <si>
    <t>462*15000/21000=330</t>
  </si>
  <si>
    <t>1261*15000/21000=901</t>
  </si>
  <si>
    <t>1639*6000/21000=468</t>
  </si>
  <si>
    <t>462*6000/21000=132</t>
  </si>
  <si>
    <t>1261*6000/21000=360</t>
  </si>
  <si>
    <t>F130373138</t>
  </si>
  <si>
    <r>
      <rPr>
        <b/>
        <sz val="10"/>
        <color indexed="8"/>
        <rFont val="微軟正黑體"/>
        <family val="2"/>
      </rPr>
      <t>工讀生</t>
    </r>
  </si>
  <si>
    <r>
      <rPr>
        <b/>
        <sz val="10"/>
        <color indexed="8"/>
        <rFont val="微軟正黑體"/>
        <family val="2"/>
      </rPr>
      <t>林楷惟</t>
    </r>
  </si>
  <si>
    <r>
      <rPr>
        <b/>
        <sz val="10"/>
        <color indexed="8"/>
        <rFont val="微軟正黑體"/>
        <family val="2"/>
      </rPr>
      <t>一般</t>
    </r>
    <r>
      <rPr>
        <b/>
        <sz val="10"/>
        <color indexed="8"/>
        <rFont val="Arial"/>
        <family val="2"/>
      </rPr>
      <t>_</t>
    </r>
    <r>
      <rPr>
        <b/>
        <sz val="10"/>
        <color indexed="8"/>
        <rFont val="微軟正黑體"/>
        <family val="2"/>
      </rPr>
      <t>學校單位預算</t>
    </r>
    <r>
      <rPr>
        <b/>
        <sz val="10"/>
        <color indexed="8"/>
        <rFont val="Arial"/>
        <family val="2"/>
      </rPr>
      <t>-</t>
    </r>
    <r>
      <rPr>
        <b/>
        <sz val="10"/>
        <color indexed="8"/>
        <rFont val="微軟正黑體"/>
        <family val="2"/>
      </rPr>
      <t>工讀助學生</t>
    </r>
  </si>
  <si>
    <r>
      <rPr>
        <b/>
        <sz val="10"/>
        <color indexed="8"/>
        <rFont val="微軟正黑體"/>
        <family val="2"/>
      </rPr>
      <t>西文系所</t>
    </r>
  </si>
  <si>
    <t>8/3-8/31</t>
  </si>
  <si>
    <t>8/3-8/30</t>
  </si>
  <si>
    <r>
      <rPr>
        <sz val="10"/>
        <color indexed="8"/>
        <rFont val="新細明體"/>
        <family val="1"/>
      </rPr>
      <t>勞保健保勞退</t>
    </r>
    <r>
      <rPr>
        <sz val="10"/>
        <color indexed="8"/>
        <rFont val="Arial"/>
        <family val="2"/>
      </rPr>
      <t>(</t>
    </r>
    <r>
      <rPr>
        <sz val="10"/>
        <color indexed="8"/>
        <rFont val="新細明體"/>
        <family val="1"/>
      </rPr>
      <t>臨時助理</t>
    </r>
    <r>
      <rPr>
        <sz val="10"/>
        <color indexed="8"/>
        <rFont val="Arial"/>
        <family val="2"/>
      </rPr>
      <t>10801)</t>
    </r>
  </si>
  <si>
    <r>
      <t>6</t>
    </r>
    <r>
      <rPr>
        <sz val="10"/>
        <color indexed="8"/>
        <rFont val="細明體"/>
        <family val="3"/>
      </rPr>
      <t>月薪資</t>
    </r>
  </si>
  <si>
    <r>
      <rPr>
        <sz val="10"/>
        <color indexed="8"/>
        <rFont val="新細明體"/>
        <family val="1"/>
      </rPr>
      <t>勞保健保勞退</t>
    </r>
    <r>
      <rPr>
        <sz val="10"/>
        <color indexed="8"/>
        <rFont val="Arial"/>
        <family val="2"/>
      </rPr>
      <t>(</t>
    </r>
    <r>
      <rPr>
        <sz val="10"/>
        <color indexed="8"/>
        <rFont val="新細明體"/>
        <family val="1"/>
      </rPr>
      <t>臨時助理</t>
    </r>
    <r>
      <rPr>
        <sz val="10"/>
        <color indexed="8"/>
        <rFont val="Arial"/>
        <family val="2"/>
      </rPr>
      <t>10804)</t>
    </r>
  </si>
  <si>
    <t>4月薪資</t>
  </si>
  <si>
    <r>
      <rPr>
        <sz val="10"/>
        <color indexed="8"/>
        <rFont val="新細明體"/>
        <family val="1"/>
      </rPr>
      <t>李芷娟</t>
    </r>
  </si>
  <si>
    <r>
      <rPr>
        <sz val="10"/>
        <color indexed="8"/>
        <rFont val="新細明體"/>
        <family val="1"/>
      </rPr>
      <t>張峻誠</t>
    </r>
  </si>
  <si>
    <r>
      <rPr>
        <b/>
        <sz val="10"/>
        <rFont val="細明體"/>
        <family val="3"/>
      </rPr>
      <t>天數</t>
    </r>
  </si>
  <si>
    <r>
      <rPr>
        <b/>
        <sz val="10"/>
        <rFont val="細明體"/>
        <family val="3"/>
      </rPr>
      <t>兼任助理</t>
    </r>
  </si>
  <si>
    <t>E224680187</t>
  </si>
  <si>
    <t>1/1-1/30</t>
  </si>
  <si>
    <r>
      <t>1</t>
    </r>
    <r>
      <rPr>
        <b/>
        <sz val="10"/>
        <rFont val="細明體"/>
        <family val="3"/>
      </rPr>
      <t>月投保薪額</t>
    </r>
  </si>
  <si>
    <t>1/1-1/15</t>
  </si>
  <si>
    <t>1/18-1/30</t>
  </si>
  <si>
    <t>TA</t>
  </si>
  <si>
    <t>T225310382</t>
  </si>
  <si>
    <t>賴婉庭</t>
  </si>
  <si>
    <t>研究生獎助學金</t>
  </si>
  <si>
    <t>體育學系</t>
  </si>
  <si>
    <t>SPARK計畫</t>
  </si>
  <si>
    <t>技資中心SPARK辦公室</t>
  </si>
  <si>
    <t/>
  </si>
  <si>
    <t>H225127888</t>
  </si>
  <si>
    <t>鍾錦慧</t>
  </si>
  <si>
    <t>109學年度原住民法律人才培育計畫</t>
  </si>
  <si>
    <t>財法系原住民碩士在職專班</t>
  </si>
  <si>
    <t>賺賠童年</t>
  </si>
  <si>
    <t>5科技部</t>
  </si>
  <si>
    <t>社會系</t>
  </si>
  <si>
    <t>A130508270</t>
  </si>
  <si>
    <t>911R121</t>
  </si>
  <si>
    <r>
      <t>90</t>
    </r>
    <r>
      <rPr>
        <sz val="10"/>
        <rFont val="細明體"/>
        <family val="3"/>
      </rPr>
      <t>高教深耕</t>
    </r>
  </si>
  <si>
    <t>3/3-6/30</t>
  </si>
  <si>
    <r>
      <rPr>
        <sz val="10"/>
        <color indexed="8"/>
        <rFont val="新細明體"/>
        <family val="1"/>
      </rPr>
      <t>勞保健保勞退</t>
    </r>
    <r>
      <rPr>
        <sz val="10"/>
        <color indexed="8"/>
        <rFont val="Arial"/>
        <family val="2"/>
      </rPr>
      <t>(</t>
    </r>
    <r>
      <rPr>
        <sz val="10"/>
        <color indexed="8"/>
        <rFont val="新細明體"/>
        <family val="1"/>
      </rPr>
      <t>臨時助理</t>
    </r>
    <r>
      <rPr>
        <sz val="10"/>
        <color indexed="8"/>
        <rFont val="Arial"/>
        <family val="2"/>
      </rPr>
      <t>10806)—</t>
    </r>
    <r>
      <rPr>
        <b/>
        <u val="single"/>
        <sz val="10"/>
        <color indexed="14"/>
        <rFont val="Arial"/>
        <family val="2"/>
      </rPr>
      <t>6</t>
    </r>
    <r>
      <rPr>
        <b/>
        <u val="single"/>
        <sz val="10"/>
        <color indexed="14"/>
        <rFont val="新細明體"/>
        <family val="1"/>
      </rPr>
      <t>月保費僅供參考，以勞健保提報管理系統每月結帳金額為準</t>
    </r>
  </si>
  <si>
    <r>
      <rPr>
        <sz val="10"/>
        <color indexed="8"/>
        <rFont val="新細明體"/>
        <family val="1"/>
      </rPr>
      <t>勞保健保勞退</t>
    </r>
    <r>
      <rPr>
        <sz val="10"/>
        <color indexed="8"/>
        <rFont val="Arial"/>
        <family val="2"/>
      </rPr>
      <t>(</t>
    </r>
    <r>
      <rPr>
        <sz val="10"/>
        <color indexed="8"/>
        <rFont val="新細明體"/>
        <family val="1"/>
      </rPr>
      <t>臨時助理</t>
    </r>
    <r>
      <rPr>
        <sz val="10"/>
        <color indexed="8"/>
        <rFont val="Arial"/>
        <family val="2"/>
      </rPr>
      <t>10806)—</t>
    </r>
    <r>
      <rPr>
        <b/>
        <u val="single"/>
        <sz val="10"/>
        <color indexed="14"/>
        <rFont val="Arial"/>
        <family val="2"/>
      </rPr>
      <t>7</t>
    </r>
    <r>
      <rPr>
        <b/>
        <u val="single"/>
        <sz val="10"/>
        <color indexed="14"/>
        <rFont val="新細明體"/>
        <family val="1"/>
      </rPr>
      <t>月保費僅供參考，以勞健保提報管理系統每月結帳金額為準</t>
    </r>
  </si>
  <si>
    <r>
      <rPr>
        <sz val="10"/>
        <color indexed="8"/>
        <rFont val="新細明體"/>
        <family val="1"/>
      </rPr>
      <t>工讀生</t>
    </r>
  </si>
  <si>
    <r>
      <rPr>
        <sz val="10"/>
        <color indexed="8"/>
        <rFont val="新細明體"/>
        <family val="1"/>
      </rPr>
      <t>勞保健保勞退</t>
    </r>
    <r>
      <rPr>
        <sz val="10"/>
        <color indexed="8"/>
        <rFont val="Arial"/>
        <family val="2"/>
      </rPr>
      <t>(</t>
    </r>
    <r>
      <rPr>
        <sz val="10"/>
        <color indexed="8"/>
        <rFont val="新細明體"/>
        <family val="1"/>
      </rPr>
      <t>臨時助理</t>
    </r>
    <r>
      <rPr>
        <sz val="10"/>
        <color indexed="8"/>
        <rFont val="Arial"/>
        <family val="2"/>
      </rPr>
      <t>10806)</t>
    </r>
  </si>
  <si>
    <r>
      <rPr>
        <sz val="10"/>
        <color indexed="8"/>
        <rFont val="新細明體"/>
        <family val="1"/>
      </rPr>
      <t>施定宏</t>
    </r>
  </si>
  <si>
    <r>
      <rPr>
        <sz val="10"/>
        <color indexed="8"/>
        <rFont val="新細明體"/>
        <family val="1"/>
      </rPr>
      <t>勞保健保勞退</t>
    </r>
    <r>
      <rPr>
        <sz val="10"/>
        <color indexed="8"/>
        <rFont val="Arial"/>
        <family val="2"/>
      </rPr>
      <t>(10809)</t>
    </r>
  </si>
  <si>
    <r>
      <rPr>
        <b/>
        <sz val="10"/>
        <rFont val="細明體"/>
        <family val="3"/>
      </rPr>
      <t>臨時助理</t>
    </r>
  </si>
  <si>
    <r>
      <t>1639/30</t>
    </r>
    <r>
      <rPr>
        <sz val="10"/>
        <rFont val="細明體"/>
        <family val="3"/>
      </rPr>
      <t>天</t>
    </r>
    <r>
      <rPr>
        <sz val="10"/>
        <rFont val="Arial"/>
        <family val="2"/>
      </rPr>
      <t>*13</t>
    </r>
    <r>
      <rPr>
        <sz val="10"/>
        <rFont val="細明體"/>
        <family val="3"/>
      </rPr>
      <t>天</t>
    </r>
    <r>
      <rPr>
        <sz val="10"/>
        <rFont val="Arial"/>
        <family val="2"/>
      </rPr>
      <t>=710</t>
    </r>
  </si>
  <si>
    <r>
      <rPr>
        <sz val="10"/>
        <rFont val="微軟正黑體"/>
        <family val="2"/>
      </rPr>
      <t>身分證字號</t>
    </r>
  </si>
  <si>
    <r>
      <t>110</t>
    </r>
    <r>
      <rPr>
        <b/>
        <sz val="10"/>
        <rFont val="細明體"/>
        <family val="3"/>
      </rPr>
      <t>年</t>
    </r>
    <r>
      <rPr>
        <b/>
        <sz val="10"/>
        <rFont val="Arial"/>
        <family val="2"/>
      </rPr>
      <t>1</t>
    </r>
    <r>
      <rPr>
        <b/>
        <sz val="10"/>
        <rFont val="細明體"/>
        <family val="3"/>
      </rPr>
      <t>月</t>
    </r>
  </si>
  <si>
    <r>
      <rPr>
        <b/>
        <sz val="10"/>
        <rFont val="細明體"/>
        <family val="3"/>
      </rPr>
      <t>陳韻安</t>
    </r>
  </si>
  <si>
    <r>
      <rPr>
        <b/>
        <sz val="10"/>
        <rFont val="微軟正黑體"/>
        <family val="2"/>
      </rPr>
      <t>投保薪額</t>
    </r>
  </si>
  <si>
    <r>
      <rPr>
        <sz val="10"/>
        <rFont val="細明體"/>
        <family val="3"/>
      </rPr>
      <t>聘期</t>
    </r>
  </si>
  <si>
    <r>
      <t>3</t>
    </r>
    <r>
      <rPr>
        <sz val="10"/>
        <rFont val="細明體"/>
        <family val="3"/>
      </rPr>
      <t>月投保薪額</t>
    </r>
  </si>
  <si>
    <r>
      <rPr>
        <sz val="10"/>
        <rFont val="細明體"/>
        <family val="3"/>
      </rPr>
      <t>張兆鈞</t>
    </r>
  </si>
  <si>
    <r>
      <rPr>
        <sz val="10"/>
        <rFont val="細明體"/>
        <family val="3"/>
      </rPr>
      <t>行政助學金</t>
    </r>
  </si>
  <si>
    <r>
      <rPr>
        <sz val="10"/>
        <rFont val="細明體"/>
        <family val="3"/>
      </rPr>
      <t>兼任助理</t>
    </r>
  </si>
  <si>
    <t>A129627040</t>
  </si>
  <si>
    <r>
      <t>5</t>
    </r>
    <r>
      <rPr>
        <sz val="10"/>
        <rFont val="細明體"/>
        <family val="3"/>
      </rPr>
      <t>科技部</t>
    </r>
  </si>
  <si>
    <t>3/1-2/28</t>
  </si>
  <si>
    <r>
      <rPr>
        <sz val="10"/>
        <color indexed="8"/>
        <rFont val="新細明體"/>
        <family val="1"/>
      </rPr>
      <t>勞保健保勞退</t>
    </r>
    <r>
      <rPr>
        <sz val="10"/>
        <color indexed="8"/>
        <rFont val="Arial"/>
        <family val="2"/>
      </rPr>
      <t>(</t>
    </r>
    <r>
      <rPr>
        <sz val="10"/>
        <color indexed="8"/>
        <rFont val="新細明體"/>
        <family val="1"/>
      </rPr>
      <t>臨時助理</t>
    </r>
    <r>
      <rPr>
        <sz val="10"/>
        <color indexed="8"/>
        <rFont val="Arial"/>
        <family val="2"/>
      </rPr>
      <t>10805)—</t>
    </r>
    <r>
      <rPr>
        <b/>
        <u val="single"/>
        <sz val="10"/>
        <color indexed="14"/>
        <rFont val="Arial"/>
        <family val="2"/>
      </rPr>
      <t>5</t>
    </r>
    <r>
      <rPr>
        <b/>
        <u val="single"/>
        <sz val="10"/>
        <color indexed="14"/>
        <rFont val="新細明體"/>
        <family val="1"/>
      </rPr>
      <t>月保費僅供參考，以勞健保提報管理系統每月結帳金額為準</t>
    </r>
  </si>
  <si>
    <r>
      <t>5</t>
    </r>
    <r>
      <rPr>
        <sz val="10"/>
        <color indexed="8"/>
        <rFont val="細明體"/>
        <family val="3"/>
      </rPr>
      <t>月薪資</t>
    </r>
  </si>
  <si>
    <r>
      <t>1</t>
    </r>
    <r>
      <rPr>
        <sz val="10"/>
        <color indexed="8"/>
        <rFont val="細明體"/>
        <family val="3"/>
      </rPr>
      <t>月薪資</t>
    </r>
  </si>
  <si>
    <r>
      <rPr>
        <sz val="10"/>
        <color indexed="8"/>
        <rFont val="新細明體"/>
        <family val="1"/>
      </rPr>
      <t>林庭筠</t>
    </r>
  </si>
  <si>
    <r>
      <rPr>
        <sz val="10"/>
        <color indexed="8"/>
        <rFont val="新細明體"/>
        <family val="1"/>
      </rPr>
      <t>勞保健保勞退</t>
    </r>
    <r>
      <rPr>
        <sz val="10"/>
        <color indexed="8"/>
        <rFont val="Arial"/>
        <family val="2"/>
      </rPr>
      <t>(</t>
    </r>
    <r>
      <rPr>
        <sz val="10"/>
        <color indexed="8"/>
        <rFont val="新細明體"/>
        <family val="1"/>
      </rPr>
      <t>工讀生</t>
    </r>
    <r>
      <rPr>
        <sz val="10"/>
        <color indexed="8"/>
        <rFont val="Arial"/>
        <family val="2"/>
      </rPr>
      <t>10806)—</t>
    </r>
    <r>
      <rPr>
        <b/>
        <u val="single"/>
        <sz val="10"/>
        <color indexed="14"/>
        <rFont val="Arial"/>
        <family val="2"/>
      </rPr>
      <t>6</t>
    </r>
    <r>
      <rPr>
        <b/>
        <u val="single"/>
        <sz val="10"/>
        <color indexed="14"/>
        <rFont val="新細明體"/>
        <family val="1"/>
      </rPr>
      <t>月保費僅供參考，以勞健保提報管理系統每月結帳金額為準</t>
    </r>
  </si>
  <si>
    <r>
      <rPr>
        <sz val="10"/>
        <color indexed="8"/>
        <rFont val="細明體"/>
        <family val="3"/>
      </rPr>
      <t>藝術學院</t>
    </r>
  </si>
  <si>
    <r>
      <rPr>
        <sz val="10"/>
        <color indexed="8"/>
        <rFont val="新細明體"/>
        <family val="1"/>
      </rPr>
      <t>羅婷</t>
    </r>
  </si>
  <si>
    <r>
      <rPr>
        <sz val="10"/>
        <color indexed="8"/>
        <rFont val="新細明體"/>
        <family val="1"/>
      </rPr>
      <t>勞保健保勞退</t>
    </r>
    <r>
      <rPr>
        <sz val="10"/>
        <color indexed="8"/>
        <rFont val="Arial"/>
        <family val="2"/>
      </rPr>
      <t>(</t>
    </r>
    <r>
      <rPr>
        <sz val="10"/>
        <color indexed="8"/>
        <rFont val="新細明體"/>
        <family val="1"/>
      </rPr>
      <t>臨時助理</t>
    </r>
    <r>
      <rPr>
        <sz val="10"/>
        <color indexed="8"/>
        <rFont val="Arial"/>
        <family val="2"/>
      </rPr>
      <t>10807)—</t>
    </r>
    <r>
      <rPr>
        <b/>
        <u val="single"/>
        <sz val="10"/>
        <color indexed="14"/>
        <rFont val="Arial"/>
        <family val="2"/>
      </rPr>
      <t>7</t>
    </r>
    <r>
      <rPr>
        <b/>
        <u val="single"/>
        <sz val="10"/>
        <color indexed="14"/>
        <rFont val="新細明體"/>
        <family val="1"/>
      </rPr>
      <t>月保費僅供參考，以勞健保提報管理系統每月結帳金額為準</t>
    </r>
  </si>
  <si>
    <r>
      <rPr>
        <sz val="10"/>
        <color indexed="8"/>
        <rFont val="新細明體"/>
        <family val="1"/>
      </rPr>
      <t>服務相招到陣來打造健康新五泰</t>
    </r>
  </si>
  <si>
    <r>
      <rPr>
        <sz val="10"/>
        <color indexed="8"/>
        <rFont val="新細明體"/>
        <family val="1"/>
      </rPr>
      <t>吳炯麟</t>
    </r>
  </si>
  <si>
    <r>
      <t>9</t>
    </r>
    <r>
      <rPr>
        <sz val="10"/>
        <color indexed="8"/>
        <rFont val="細明體"/>
        <family val="3"/>
      </rPr>
      <t>月薪資</t>
    </r>
  </si>
  <si>
    <r>
      <rPr>
        <sz val="10"/>
        <color indexed="8"/>
        <rFont val="新細明體"/>
        <family val="1"/>
      </rPr>
      <t>一般</t>
    </r>
    <r>
      <rPr>
        <sz val="10"/>
        <color indexed="8"/>
        <rFont val="Arial"/>
        <family val="2"/>
      </rPr>
      <t>_</t>
    </r>
    <r>
      <rPr>
        <sz val="10"/>
        <color indexed="8"/>
        <rFont val="新細明體"/>
        <family val="1"/>
      </rPr>
      <t>學校單位預算</t>
    </r>
    <r>
      <rPr>
        <sz val="10"/>
        <color indexed="8"/>
        <rFont val="Arial"/>
        <family val="2"/>
      </rPr>
      <t>(</t>
    </r>
    <r>
      <rPr>
        <sz val="10"/>
        <color indexed="8"/>
        <rFont val="新細明體"/>
        <family val="1"/>
      </rPr>
      <t>兼任教師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</si>
  <si>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細明體"/>
        <family val="3"/>
      </rPr>
      <t>食品科學系</t>
    </r>
  </si>
  <si>
    <r>
      <t>3</t>
    </r>
    <r>
      <rPr>
        <sz val="10"/>
        <color indexed="8"/>
        <rFont val="細明體"/>
        <family val="3"/>
      </rPr>
      <t>其他政府補助款</t>
    </r>
  </si>
  <si>
    <r>
      <rPr>
        <sz val="10"/>
        <color indexed="8"/>
        <rFont val="細明體"/>
        <family val="3"/>
      </rPr>
      <t>工讀生</t>
    </r>
  </si>
  <si>
    <r>
      <rPr>
        <sz val="10"/>
        <color indexed="8"/>
        <rFont val="細明體"/>
        <family val="3"/>
      </rPr>
      <t>秘書室</t>
    </r>
  </si>
  <si>
    <r>
      <rPr>
        <sz val="10"/>
        <rFont val="微軟正黑體"/>
        <family val="2"/>
      </rPr>
      <t>身分證字號</t>
    </r>
  </si>
  <si>
    <r>
      <rPr>
        <sz val="10"/>
        <rFont val="細明體"/>
        <family val="3"/>
      </rPr>
      <t>備註</t>
    </r>
  </si>
  <si>
    <r>
      <t>109</t>
    </r>
    <r>
      <rPr>
        <b/>
        <sz val="10"/>
        <rFont val="細明體"/>
        <family val="3"/>
      </rPr>
      <t>年</t>
    </r>
    <r>
      <rPr>
        <b/>
        <sz val="10"/>
        <rFont val="Arial"/>
        <family val="2"/>
      </rPr>
      <t>9</t>
    </r>
    <r>
      <rPr>
        <b/>
        <sz val="10"/>
        <rFont val="細明體"/>
        <family val="3"/>
      </rPr>
      <t>月</t>
    </r>
  </si>
  <si>
    <r>
      <t>9</t>
    </r>
    <r>
      <rPr>
        <b/>
        <sz val="10"/>
        <rFont val="細明體"/>
        <family val="3"/>
      </rPr>
      <t>月投保薪額</t>
    </r>
  </si>
  <si>
    <r>
      <t>30</t>
    </r>
    <r>
      <rPr>
        <sz val="10"/>
        <rFont val="細明體"/>
        <family val="3"/>
      </rPr>
      <t>天</t>
    </r>
  </si>
  <si>
    <r>
      <rPr>
        <b/>
        <sz val="10"/>
        <rFont val="細明體"/>
        <family val="3"/>
      </rPr>
      <t>工讀生</t>
    </r>
  </si>
  <si>
    <r>
      <t>462/30</t>
    </r>
    <r>
      <rPr>
        <sz val="10"/>
        <rFont val="細明體"/>
        <family val="3"/>
      </rPr>
      <t>天</t>
    </r>
    <r>
      <rPr>
        <sz val="10"/>
        <rFont val="Arial"/>
        <family val="2"/>
      </rPr>
      <t>*13</t>
    </r>
    <r>
      <rPr>
        <sz val="10"/>
        <rFont val="細明體"/>
        <family val="3"/>
      </rPr>
      <t>天</t>
    </r>
    <r>
      <rPr>
        <sz val="10"/>
        <rFont val="Arial"/>
        <family val="2"/>
      </rPr>
      <t>=200</t>
    </r>
  </si>
  <si>
    <r>
      <t>1261/30</t>
    </r>
    <r>
      <rPr>
        <sz val="10"/>
        <rFont val="細明體"/>
        <family val="3"/>
      </rPr>
      <t>天</t>
    </r>
    <r>
      <rPr>
        <sz val="10"/>
        <rFont val="Arial"/>
        <family val="2"/>
      </rPr>
      <t>*13</t>
    </r>
    <r>
      <rPr>
        <sz val="10"/>
        <rFont val="細明體"/>
        <family val="3"/>
      </rPr>
      <t>天</t>
    </r>
    <r>
      <rPr>
        <sz val="10"/>
        <rFont val="Arial"/>
        <family val="2"/>
      </rPr>
      <t>=546</t>
    </r>
  </si>
  <si>
    <r>
      <t>710(13</t>
    </r>
    <r>
      <rPr>
        <sz val="10"/>
        <rFont val="細明體"/>
        <family val="3"/>
      </rPr>
      <t>天</t>
    </r>
    <r>
      <rPr>
        <sz val="10"/>
        <rFont val="Arial"/>
        <family val="2"/>
      </rPr>
      <t>)+681(17</t>
    </r>
    <r>
      <rPr>
        <sz val="10"/>
        <rFont val="細明體"/>
        <family val="3"/>
      </rPr>
      <t>天</t>
    </r>
    <r>
      <rPr>
        <sz val="10"/>
        <rFont val="Arial"/>
        <family val="2"/>
      </rPr>
      <t>)=1391</t>
    </r>
  </si>
  <si>
    <r>
      <t>200(13</t>
    </r>
    <r>
      <rPr>
        <sz val="10"/>
        <rFont val="細明體"/>
        <family val="3"/>
      </rPr>
      <t>天</t>
    </r>
    <r>
      <rPr>
        <sz val="10"/>
        <rFont val="Arial"/>
        <family val="2"/>
      </rPr>
      <t>)+192(17</t>
    </r>
    <r>
      <rPr>
        <sz val="10"/>
        <rFont val="細明體"/>
        <family val="3"/>
      </rPr>
      <t>天</t>
    </r>
    <r>
      <rPr>
        <sz val="10"/>
        <rFont val="Arial"/>
        <family val="2"/>
      </rPr>
      <t>)=392</t>
    </r>
  </si>
  <si>
    <r>
      <t>546(13</t>
    </r>
    <r>
      <rPr>
        <sz val="10"/>
        <rFont val="細明體"/>
        <family val="3"/>
      </rPr>
      <t>天</t>
    </r>
    <r>
      <rPr>
        <sz val="10"/>
        <rFont val="Arial"/>
        <family val="2"/>
      </rPr>
      <t>)+524(17</t>
    </r>
    <r>
      <rPr>
        <sz val="10"/>
        <rFont val="細明體"/>
        <family val="3"/>
      </rPr>
      <t>天</t>
    </r>
    <r>
      <rPr>
        <sz val="10"/>
        <rFont val="Arial"/>
        <family val="2"/>
      </rPr>
      <t>)=1070</t>
    </r>
  </si>
  <si>
    <r>
      <rPr>
        <sz val="10"/>
        <rFont val="細明體"/>
        <family val="3"/>
      </rPr>
      <t>計費天數</t>
    </r>
  </si>
  <si>
    <r>
      <t>1883/30</t>
    </r>
    <r>
      <rPr>
        <sz val="10"/>
        <rFont val="細明體"/>
        <family val="3"/>
      </rPr>
      <t>天</t>
    </r>
  </si>
  <si>
    <r>
      <t>531/30</t>
    </r>
    <r>
      <rPr>
        <sz val="10"/>
        <rFont val="細明體"/>
        <family val="3"/>
      </rPr>
      <t>天</t>
    </r>
  </si>
  <si>
    <r>
      <t>1386/30</t>
    </r>
    <r>
      <rPr>
        <sz val="10"/>
        <rFont val="細明體"/>
        <family val="3"/>
      </rPr>
      <t>天</t>
    </r>
  </si>
  <si>
    <r>
      <rPr>
        <sz val="10"/>
        <rFont val="細明體"/>
        <family val="3"/>
      </rPr>
      <t>陳政宏</t>
    </r>
  </si>
  <si>
    <t>A130508270</t>
  </si>
  <si>
    <t>3/14~</t>
  </si>
  <si>
    <t>F221260577</t>
  </si>
  <si>
    <t>兼任教師</t>
  </si>
  <si>
    <t>楊如英</t>
  </si>
  <si>
    <t>臨時部分</t>
  </si>
  <si>
    <t>3/2~</t>
  </si>
  <si>
    <t>G220802509</t>
  </si>
  <si>
    <t>陳寶蓮</t>
  </si>
  <si>
    <r>
      <t>110</t>
    </r>
    <r>
      <rPr>
        <sz val="10"/>
        <color indexed="10"/>
        <rFont val="細明體"/>
        <family val="3"/>
      </rPr>
      <t>年</t>
    </r>
    <r>
      <rPr>
        <sz val="10"/>
        <color indexed="10"/>
        <rFont val="Arial"/>
        <family val="2"/>
      </rPr>
      <t>3</t>
    </r>
    <r>
      <rPr>
        <sz val="10"/>
        <color indexed="10"/>
        <rFont val="細明體"/>
        <family val="3"/>
      </rPr>
      <t>月</t>
    </r>
  </si>
  <si>
    <t>3/1~</t>
  </si>
  <si>
    <t>P220221760</t>
  </si>
  <si>
    <t>沈淑麗</t>
  </si>
  <si>
    <t>3/3~</t>
  </si>
  <si>
    <r>
      <t>110</t>
    </r>
    <r>
      <rPr>
        <sz val="10"/>
        <color indexed="10"/>
        <rFont val="細明體"/>
        <family val="3"/>
      </rPr>
      <t>年</t>
    </r>
    <r>
      <rPr>
        <sz val="10"/>
        <color indexed="10"/>
        <rFont val="Arial"/>
        <family val="2"/>
      </rPr>
      <t>2</t>
    </r>
    <r>
      <rPr>
        <sz val="10"/>
        <color indexed="10"/>
        <rFont val="細明體"/>
        <family val="3"/>
      </rPr>
      <t>月</t>
    </r>
  </si>
  <si>
    <t>F130300779</t>
  </si>
  <si>
    <t>工讀生</t>
  </si>
  <si>
    <t>林群堂</t>
  </si>
  <si>
    <t>2/1-2/8</t>
  </si>
  <si>
    <r>
      <t>2</t>
    </r>
    <r>
      <rPr>
        <sz val="10"/>
        <rFont val="細明體"/>
        <family val="3"/>
      </rPr>
      <t>月投保薪額</t>
    </r>
  </si>
  <si>
    <t>2/18~</t>
  </si>
  <si>
    <t>2/26~</t>
  </si>
  <si>
    <t>E224953845</t>
  </si>
  <si>
    <t>洪薇蓁</t>
  </si>
  <si>
    <t>臨時助理</t>
  </si>
  <si>
    <t>3/23-6/3</t>
  </si>
  <si>
    <t>3/22-6/30</t>
  </si>
  <si>
    <r>
      <t>30</t>
    </r>
    <r>
      <rPr>
        <sz val="10"/>
        <rFont val="細明體"/>
        <family val="3"/>
      </rPr>
      <t>天保費</t>
    </r>
  </si>
  <si>
    <r>
      <rPr>
        <sz val="10"/>
        <rFont val="細明體"/>
        <family val="3"/>
      </rPr>
      <t>每日保費</t>
    </r>
    <r>
      <rPr>
        <sz val="10"/>
        <rFont val="Arial"/>
        <family val="2"/>
      </rPr>
      <t>=30</t>
    </r>
    <r>
      <rPr>
        <sz val="10"/>
        <rFont val="細明體"/>
        <family val="3"/>
      </rPr>
      <t>天保費</t>
    </r>
    <r>
      <rPr>
        <sz val="10"/>
        <rFont val="新細明體"/>
        <family val="1"/>
      </rPr>
      <t>÷</t>
    </r>
    <r>
      <rPr>
        <sz val="10"/>
        <rFont val="Arial"/>
        <family val="2"/>
      </rPr>
      <t>30</t>
    </r>
    <r>
      <rPr>
        <sz val="10"/>
        <rFont val="細明體"/>
        <family val="3"/>
      </rPr>
      <t>天</t>
    </r>
  </si>
  <si>
    <r>
      <t>3/22-3/30</t>
    </r>
    <r>
      <rPr>
        <sz val="10"/>
        <rFont val="細明體"/>
        <family val="3"/>
      </rPr>
      <t>保費</t>
    </r>
    <r>
      <rPr>
        <sz val="10"/>
        <rFont val="Arial"/>
        <family val="2"/>
      </rPr>
      <t>=</t>
    </r>
    <r>
      <rPr>
        <sz val="10"/>
        <rFont val="細明體"/>
        <family val="3"/>
      </rPr>
      <t>每日保費＊</t>
    </r>
    <r>
      <rPr>
        <sz val="10"/>
        <rFont val="Arial"/>
        <family val="2"/>
      </rPr>
      <t>9</t>
    </r>
    <r>
      <rPr>
        <sz val="10"/>
        <rFont val="細明體"/>
        <family val="3"/>
      </rPr>
      <t>天</t>
    </r>
  </si>
  <si>
    <r>
      <t>3/22</t>
    </r>
    <r>
      <rPr>
        <sz val="10"/>
        <rFont val="細明體"/>
        <family val="3"/>
      </rPr>
      <t>保費</t>
    </r>
    <r>
      <rPr>
        <sz val="10"/>
        <rFont val="Arial"/>
        <family val="2"/>
      </rPr>
      <t>=</t>
    </r>
    <r>
      <rPr>
        <sz val="10"/>
        <rFont val="細明體"/>
        <family val="3"/>
      </rPr>
      <t>每日保費</t>
    </r>
    <r>
      <rPr>
        <sz val="10"/>
        <rFont val="Arial"/>
        <family val="2"/>
      </rPr>
      <t>*1</t>
    </r>
    <r>
      <rPr>
        <sz val="10"/>
        <rFont val="細明體"/>
        <family val="3"/>
      </rPr>
      <t>天</t>
    </r>
  </si>
  <si>
    <r>
      <t>3/23~3/30</t>
    </r>
    <r>
      <rPr>
        <sz val="10"/>
        <rFont val="細明體"/>
        <family val="3"/>
      </rPr>
      <t>保費</t>
    </r>
    <r>
      <rPr>
        <sz val="10"/>
        <rFont val="Arial"/>
        <family val="2"/>
      </rPr>
      <t>=3/22-3/30</t>
    </r>
    <r>
      <rPr>
        <sz val="10"/>
        <rFont val="細明體"/>
        <family val="3"/>
      </rPr>
      <t>保費</t>
    </r>
    <r>
      <rPr>
        <sz val="10"/>
        <rFont val="Arial"/>
        <family val="2"/>
      </rPr>
      <t>-3/22</t>
    </r>
    <r>
      <rPr>
        <sz val="10"/>
        <rFont val="細明體"/>
        <family val="3"/>
      </rPr>
      <t>保費</t>
    </r>
  </si>
  <si>
    <r>
      <t>2/18-30</t>
    </r>
    <r>
      <rPr>
        <sz val="10"/>
        <rFont val="細明體"/>
        <family val="3"/>
      </rPr>
      <t>保費</t>
    </r>
    <r>
      <rPr>
        <sz val="10"/>
        <rFont val="Arial"/>
        <family val="2"/>
      </rPr>
      <t>=</t>
    </r>
    <r>
      <rPr>
        <sz val="10"/>
        <rFont val="細明體"/>
        <family val="3"/>
      </rPr>
      <t>每日保費＊</t>
    </r>
    <r>
      <rPr>
        <sz val="10"/>
        <rFont val="Arial"/>
        <family val="2"/>
      </rPr>
      <t>13</t>
    </r>
    <r>
      <rPr>
        <sz val="10"/>
        <rFont val="細明體"/>
        <family val="3"/>
      </rPr>
      <t>天</t>
    </r>
  </si>
  <si>
    <t>正確</t>
  </si>
  <si>
    <t>D222971326</t>
  </si>
  <si>
    <t>黃品蓁</t>
  </si>
  <si>
    <t>3/4-3/31</t>
  </si>
  <si>
    <t>1/8~7/30</t>
  </si>
  <si>
    <r>
      <t>3/1~3/3</t>
    </r>
    <r>
      <rPr>
        <sz val="10"/>
        <rFont val="細明體"/>
        <family val="3"/>
      </rPr>
      <t>保費</t>
    </r>
    <r>
      <rPr>
        <sz val="10"/>
        <rFont val="Arial"/>
        <family val="2"/>
      </rPr>
      <t>=</t>
    </r>
    <r>
      <rPr>
        <sz val="10"/>
        <rFont val="細明體"/>
        <family val="3"/>
      </rPr>
      <t>每日保費</t>
    </r>
    <r>
      <rPr>
        <sz val="10"/>
        <rFont val="Arial"/>
        <family val="2"/>
      </rPr>
      <t>*3</t>
    </r>
    <r>
      <rPr>
        <sz val="10"/>
        <rFont val="細明體"/>
        <family val="3"/>
      </rPr>
      <t>天</t>
    </r>
  </si>
  <si>
    <r>
      <t>3/4~3/30</t>
    </r>
    <r>
      <rPr>
        <sz val="10"/>
        <rFont val="細明體"/>
        <family val="3"/>
      </rPr>
      <t>保費</t>
    </r>
    <r>
      <rPr>
        <sz val="10"/>
        <rFont val="Arial"/>
        <family val="2"/>
      </rPr>
      <t>=30</t>
    </r>
    <r>
      <rPr>
        <sz val="10"/>
        <rFont val="細明體"/>
        <family val="3"/>
      </rPr>
      <t>天保費</t>
    </r>
    <r>
      <rPr>
        <sz val="10"/>
        <rFont val="Arial"/>
        <family val="2"/>
      </rPr>
      <t>-3/1~3/3</t>
    </r>
    <r>
      <rPr>
        <sz val="10"/>
        <rFont val="細明體"/>
        <family val="3"/>
      </rPr>
      <t>保費</t>
    </r>
  </si>
  <si>
    <r>
      <rPr>
        <sz val="10"/>
        <rFont val="細明體"/>
        <family val="3"/>
      </rPr>
      <t>保費</t>
    </r>
    <r>
      <rPr>
        <sz val="10"/>
        <rFont val="Arial"/>
        <family val="2"/>
      </rPr>
      <t>*7000/(7000+4800)</t>
    </r>
  </si>
  <si>
    <r>
      <rPr>
        <sz val="10"/>
        <rFont val="細明體"/>
        <family val="3"/>
      </rPr>
      <t>保費</t>
    </r>
    <r>
      <rPr>
        <sz val="10"/>
        <rFont val="Arial"/>
        <family val="2"/>
      </rPr>
      <t>*4800/(7000+4800)</t>
    </r>
  </si>
  <si>
    <r>
      <rPr>
        <sz val="10"/>
        <rFont val="細明體"/>
        <family val="3"/>
      </rPr>
      <t>保費</t>
    </r>
    <r>
      <rPr>
        <sz val="10"/>
        <rFont val="Arial"/>
        <family val="2"/>
      </rPr>
      <t>*6400/(6400+13500)</t>
    </r>
  </si>
  <si>
    <r>
      <rPr>
        <sz val="10"/>
        <rFont val="細明體"/>
        <family val="3"/>
      </rPr>
      <t>保費</t>
    </r>
    <r>
      <rPr>
        <sz val="10"/>
        <rFont val="Arial"/>
        <family val="2"/>
      </rPr>
      <t>*13500/(6400+13500)</t>
    </r>
  </si>
  <si>
    <t>P224492498</t>
  </si>
  <si>
    <t>沈姿吟</t>
  </si>
  <si>
    <t>3/1-3/31</t>
  </si>
  <si>
    <t>2/1~7/31</t>
  </si>
  <si>
    <r>
      <rPr>
        <sz val="10"/>
        <rFont val="細明體"/>
        <family val="3"/>
      </rPr>
      <t>保費</t>
    </r>
    <r>
      <rPr>
        <sz val="10"/>
        <rFont val="Arial"/>
        <family val="2"/>
      </rPr>
      <t>*13600/(13600+4000)</t>
    </r>
  </si>
  <si>
    <t>投保薪資金額</t>
  </si>
  <si>
    <t>自付額</t>
  </si>
  <si>
    <t>校付額</t>
  </si>
  <si>
    <t>普通事故保險</t>
  </si>
  <si>
    <t>就業保險</t>
  </si>
  <si>
    <t>職業災害</t>
  </si>
  <si>
    <t>原分級表第2級20,100元及第3級21,000元刪除，第4級21,900元遞移為第2級，餘級次均遞移。</t>
  </si>
  <si>
    <t>「勞工保險投保薪資分級表」第1級月投保薪資金額修正為22,000元，原分級表第2級21,900元刪除。</t>
  </si>
  <si>
    <t>「勞工保險投保薪資分級表」第1級月投保薪資金額修正為23,100元，原分級表第2級22,800元刪除。</t>
  </si>
  <si>
    <t>墊償基金</t>
  </si>
  <si>
    <t>職業災害</t>
  </si>
  <si>
    <t>每月薪資金額</t>
  </si>
  <si>
    <t>是否超過65歲</t>
  </si>
  <si>
    <t>身份別</t>
  </si>
  <si>
    <t>勞工退休金提撥</t>
  </si>
  <si>
    <t>勞保保額</t>
  </si>
  <si>
    <t>健保保額</t>
  </si>
  <si>
    <t>提繳工資</t>
  </si>
  <si>
    <t>自付金額</t>
  </si>
  <si>
    <t>自付金額</t>
  </si>
  <si>
    <t>自願提撥
(提撥率0%～6%)</t>
  </si>
  <si>
    <t>校付金額</t>
  </si>
  <si>
    <t>◎本校自103.08.01起，除具教學工作者外，皆屬勞基法適用範圍，亦為勞工退休金強制提撥對象。</t>
  </si>
  <si>
    <t>下拉式選單</t>
  </si>
  <si>
    <t>勞保自付額</t>
  </si>
  <si>
    <t>勞保校付額</t>
  </si>
  <si>
    <t>普通事故</t>
  </si>
  <si>
    <t>本國人</t>
  </si>
  <si>
    <t>就業保險</t>
  </si>
  <si>
    <t>與本國人結婚之外籍人士</t>
  </si>
  <si>
    <t>職業災害</t>
  </si>
  <si>
    <t>未與本國人結婚之外籍人士</t>
  </si>
  <si>
    <t>墊償基金</t>
  </si>
  <si>
    <t>定義</t>
  </si>
  <si>
    <t>一般教職員</t>
  </si>
  <si>
    <t>非一般教職員</t>
  </si>
  <si>
    <t>勞保保額</t>
  </si>
  <si>
    <t>健保保額</t>
  </si>
  <si>
    <r>
      <rPr>
        <b/>
        <sz val="14"/>
        <color indexed="30"/>
        <rFont val="微軟正黑體"/>
        <family val="2"/>
      </rPr>
      <t>勞保自付額</t>
    </r>
  </si>
  <si>
    <r>
      <rPr>
        <b/>
        <sz val="14"/>
        <color indexed="30"/>
        <rFont val="微軟正黑體"/>
        <family val="2"/>
      </rPr>
      <t>勞保校付額</t>
    </r>
  </si>
  <si>
    <r>
      <rPr>
        <b/>
        <sz val="14"/>
        <color indexed="30"/>
        <rFont val="微軟正黑體"/>
        <family val="2"/>
      </rPr>
      <t>健保自付額</t>
    </r>
  </si>
  <si>
    <r>
      <rPr>
        <b/>
        <sz val="14"/>
        <color indexed="30"/>
        <rFont val="微軟正黑體"/>
        <family val="2"/>
      </rPr>
      <t>健保校付額</t>
    </r>
  </si>
  <si>
    <t>勞退分級對照</t>
  </si>
  <si>
    <t>對照</t>
  </si>
  <si>
    <t>雇主負擔</t>
  </si>
  <si>
    <t>月提繳工資</t>
  </si>
  <si>
    <t>IF(身份別="本國人",VLOOKUP(B2,A25:C87,2),0)</t>
  </si>
  <si>
    <t>雇主負擔</t>
  </si>
  <si>
    <t>IF(身份別="未與本國人結婚之外籍人士",0,VLOOKUP(B2,A25:C87,2))</t>
  </si>
  <si>
    <t>IF(身份別="本國人",VLOOKUP(B2,A25:C87,3),0)</t>
  </si>
  <si>
    <t>IF(身份別="未與本國人結婚之外籍人士",0,VLOOKUP(B2,A25:C87,3))</t>
  </si>
  <si>
    <r>
      <rPr>
        <b/>
        <sz val="16"/>
        <color indexed="8"/>
        <rFont val="微軟正黑體"/>
        <family val="2"/>
      </rPr>
      <t>自付金額</t>
    </r>
  </si>
  <si>
    <r>
      <t xml:space="preserve">校付金額
</t>
    </r>
    <r>
      <rPr>
        <b/>
        <sz val="12"/>
        <color indexed="60"/>
        <rFont val="微軟正黑體"/>
        <family val="2"/>
      </rPr>
      <t>(依規定以6%計算)</t>
    </r>
  </si>
  <si>
    <t>勞工保險保費</t>
  </si>
  <si>
    <t>全民健康保險保費</t>
  </si>
  <si>
    <t>職災保額</t>
  </si>
  <si>
    <t>職災校付額</t>
  </si>
  <si>
    <t>職業災害
投保薪資金額</t>
  </si>
  <si>
    <t>單位：新台幣元</t>
  </si>
  <si>
    <t>被保險人及眷屬負擔金額﹝負擔比率30%﹞</t>
  </si>
  <si>
    <t>月投保金額</t>
  </si>
  <si>
    <t>※104年1月1日 健保局調降雇主負擔之眷口數為0.62口</t>
  </si>
  <si>
    <t>全民健康保險保險費負擔金額表(三)</t>
  </si>
  <si>
    <t>投保金額等級</t>
  </si>
  <si>
    <t>投保單位負擔金額﹝負擔比率60%﹞</t>
  </si>
  <si>
    <t>政府補助金額﹝補助比率10%﹞</t>
  </si>
  <si>
    <t>本人</t>
  </si>
  <si>
    <t>本人+１眷口</t>
  </si>
  <si>
    <t>本人+２眷口</t>
  </si>
  <si>
    <t>本人+３眷口</t>
  </si>
  <si>
    <t>※91年9月1日 健保費率由4.25%調高為4.55%</t>
  </si>
  <si>
    <t>※99年4月1日 健保費率由4.55%調高為5.17%</t>
  </si>
  <si>
    <t>※102年1月1日 健保費率由5.17%調降為4.91%</t>
  </si>
  <si>
    <t>【自付＝投保薪資金額×4.91%(費率)×30%】</t>
  </si>
  <si>
    <t>【校付＝投保薪資金額×4.91%(費率)×60%×(1＋0.7眷口數)】</t>
  </si>
  <si>
    <t>【校付＝投保薪資金額×4.91%(費率)×60%×(1＋0.62眷口數)】</t>
  </si>
  <si>
    <t>※105年1月1日 健保費率由4.91%調降為4.69%</t>
  </si>
  <si>
    <t>【自付＝投保薪資金額×4.69%(費率)×30%】</t>
  </si>
  <si>
    <t>【校付＝投保薪資金額×4.69%(費率)×60%×(1＋0.61眷口數)】</t>
  </si>
  <si>
    <r>
      <rPr>
        <sz val="11"/>
        <color indexed="8"/>
        <rFont val="微軟正黑體"/>
        <family val="2"/>
      </rPr>
      <t>【校付＝投保薪資金額×4.69%(費率)×60%×(1＋0.58眷口數)】</t>
    </r>
  </si>
  <si>
    <t>級距</t>
  </si>
  <si>
    <t>級</t>
  </si>
  <si>
    <t>實際工資</t>
  </si>
  <si>
    <t>第1組</t>
  </si>
  <si>
    <t>1,500元以下</t>
  </si>
  <si>
    <t>1,500元</t>
  </si>
  <si>
    <t>第7組</t>
  </si>
  <si>
    <t>45,801元至48,200元</t>
  </si>
  <si>
    <t>48,200元</t>
  </si>
  <si>
    <t>1,501元至3,000元</t>
  </si>
  <si>
    <t>3,000元</t>
  </si>
  <si>
    <t>48,201元至50,600元</t>
  </si>
  <si>
    <t>50,600元</t>
  </si>
  <si>
    <t>3,001元至4,500元</t>
  </si>
  <si>
    <t>4,500元</t>
  </si>
  <si>
    <t>50,601元至53,000元</t>
  </si>
  <si>
    <t>53,000元</t>
  </si>
  <si>
    <t>4,501元至6,000元</t>
  </si>
  <si>
    <t>6,000元</t>
  </si>
  <si>
    <t>53,001元至55,400元</t>
  </si>
  <si>
    <t>55,400元</t>
  </si>
  <si>
    <t>6,001元至7,500元</t>
  </si>
  <si>
    <t>7,500元</t>
  </si>
  <si>
    <t>55,401元至57,800元</t>
  </si>
  <si>
    <t>57,800元</t>
  </si>
  <si>
    <t>第2組</t>
  </si>
  <si>
    <t>7,501元至8,700元</t>
  </si>
  <si>
    <t>8,700元</t>
  </si>
  <si>
    <t>第8組</t>
  </si>
  <si>
    <t>57,801元至60,800元</t>
  </si>
  <si>
    <t>60,800元</t>
  </si>
  <si>
    <t>8,701元至9,900元</t>
  </si>
  <si>
    <t>9,900元</t>
  </si>
  <si>
    <t>60,801元至63,800元</t>
  </si>
  <si>
    <t>63,800元</t>
  </si>
  <si>
    <t>9,901元至11,100元</t>
  </si>
  <si>
    <t>11,100元</t>
  </si>
  <si>
    <t>63,801元至66,800元</t>
  </si>
  <si>
    <t>66,800元</t>
  </si>
  <si>
    <t>11,101元至12,540元</t>
  </si>
  <si>
    <t>12,540元</t>
  </si>
  <si>
    <t>66,801元至69,800元</t>
  </si>
  <si>
    <t>69,800元</t>
  </si>
  <si>
    <t>12,541元至13,500元</t>
  </si>
  <si>
    <t>13,500元</t>
  </si>
  <si>
    <t>69,801元至72,800元</t>
  </si>
  <si>
    <t>72,800元</t>
  </si>
  <si>
    <t>第3組</t>
  </si>
  <si>
    <t>13,501元至15,840元</t>
  </si>
  <si>
    <t>15,840元</t>
  </si>
  <si>
    <t>第9組</t>
  </si>
  <si>
    <t>72,801元至76,500元</t>
  </si>
  <si>
    <t>76,500元</t>
  </si>
  <si>
    <t>15,841元至16,500元</t>
  </si>
  <si>
    <t>16,500元</t>
  </si>
  <si>
    <t>76,501元至80,200元</t>
  </si>
  <si>
    <t>80,200元</t>
  </si>
  <si>
    <t>16,501元至17,280元</t>
  </si>
  <si>
    <t>17,280元</t>
  </si>
  <si>
    <t>80,201元至83,900元</t>
  </si>
  <si>
    <t>83,900元</t>
  </si>
  <si>
    <t>17,281元至17,880元</t>
  </si>
  <si>
    <t>17,880元</t>
  </si>
  <si>
    <t>83,901元至87,600元</t>
  </si>
  <si>
    <t>87,600元</t>
  </si>
  <si>
    <t>17,881元至19,047元</t>
  </si>
  <si>
    <t>19,047元</t>
  </si>
  <si>
    <t>第10組</t>
  </si>
  <si>
    <t>87,601元至92,100元</t>
  </si>
  <si>
    <t>92,100元</t>
  </si>
  <si>
    <t>19,048元至20,008元</t>
  </si>
  <si>
    <t>20,008元</t>
  </si>
  <si>
    <t>92,101元至96,600元</t>
  </si>
  <si>
    <t>96,600元</t>
  </si>
  <si>
    <t>20,009元至21,009元</t>
  </si>
  <si>
    <t>21,009元</t>
  </si>
  <si>
    <t>96,601元至101,100元</t>
  </si>
  <si>
    <t>101,100元</t>
  </si>
  <si>
    <t>21,010元至22,000元</t>
  </si>
  <si>
    <t>22,000元</t>
  </si>
  <si>
    <t>101,101元至105,600元</t>
  </si>
  <si>
    <t>105,600元</t>
  </si>
  <si>
    <t>22,001元至23,100元</t>
  </si>
  <si>
    <t>23,100元</t>
  </si>
  <si>
    <t>105,601元至110,100元</t>
  </si>
  <si>
    <t>110,100元</t>
  </si>
  <si>
    <t>第4組</t>
  </si>
  <si>
    <t>24,000元</t>
  </si>
  <si>
    <t>第11組</t>
  </si>
  <si>
    <t>110,101元至115,500元</t>
  </si>
  <si>
    <t>115,500元</t>
  </si>
  <si>
    <t>115,501元至120,900元</t>
  </si>
  <si>
    <t>120,900元</t>
  </si>
  <si>
    <t>26,400元</t>
  </si>
  <si>
    <t>120,901元至126,300元</t>
  </si>
  <si>
    <t>126,300元</t>
  </si>
  <si>
    <t>27,600元</t>
  </si>
  <si>
    <t>126,301元至131,700元</t>
  </si>
  <si>
    <t>131,700元</t>
  </si>
  <si>
    <t>27,601元至28,800元</t>
  </si>
  <si>
    <t>28,800元</t>
  </si>
  <si>
    <t>131,701元至137,100元</t>
  </si>
  <si>
    <t>137,100元</t>
  </si>
  <si>
    <t>第5組</t>
  </si>
  <si>
    <t>28,801元至30,300元</t>
  </si>
  <si>
    <t>30,300元</t>
  </si>
  <si>
    <t>137,101元至142,500元</t>
  </si>
  <si>
    <t>142,500元</t>
  </si>
  <si>
    <t>30,301元至31,800元</t>
  </si>
  <si>
    <t>31,800元</t>
  </si>
  <si>
    <t>142,501元至147,900元</t>
  </si>
  <si>
    <t>147,900元</t>
  </si>
  <si>
    <t>31,801元至33,300元</t>
  </si>
  <si>
    <t>33,300元</t>
  </si>
  <si>
    <t>147,901元以上</t>
  </si>
  <si>
    <t>150,000元</t>
  </si>
  <si>
    <t>33,301元至34,800元</t>
  </si>
  <si>
    <t>34,800元</t>
  </si>
  <si>
    <t>34,801元至36,300元</t>
  </si>
  <si>
    <t>36,300元</t>
  </si>
  <si>
    <t>備註：</t>
  </si>
  <si>
    <t>第6組</t>
  </si>
  <si>
    <t>36,301元至38,200元</t>
  </si>
  <si>
    <t>38,200元</t>
  </si>
  <si>
    <t>一、本表依勞工退休金條例第十四條第五項規定訂定之。</t>
  </si>
  <si>
    <t>38,201元至40,100元</t>
  </si>
  <si>
    <t>40,100元</t>
  </si>
  <si>
    <t>40,101元至42,000元</t>
  </si>
  <si>
    <t>42,000元</t>
  </si>
  <si>
    <t>42,001元至43,900元</t>
  </si>
  <si>
    <t>43,900元</t>
  </si>
  <si>
    <t>43,901元至45,800元</t>
  </si>
  <si>
    <t>45,800元</t>
  </si>
  <si>
    <t>勞工退休金月提繳工資分級表</t>
  </si>
  <si>
    <t>月提繳工資</t>
  </si>
  <si>
    <t>二、本表月提繳工資/月提繳執行業務所得金額以新臺幣元
　　為單位，角以下四捨五入。</t>
  </si>
  <si>
    <t>23,101元至24,000元</t>
  </si>
  <si>
    <t>勞保保額分級分攤表</t>
  </si>
  <si>
    <t>勞工退休金月提繳工資分級表</t>
  </si>
  <si>
    <t>健保保額分級分攤表</t>
  </si>
  <si>
    <t>24,001元至25,250元</t>
  </si>
  <si>
    <t>25,250元</t>
  </si>
  <si>
    <t>25,251元至26,400元</t>
  </si>
  <si>
    <t>自付</t>
  </si>
  <si>
    <t>校付</t>
  </si>
  <si>
    <t>※111年7月1日 投保金額最高一級調整為219,500元</t>
  </si>
  <si>
    <t>※94年4月1日 健保最高保額由87,600元提高為131,700元</t>
  </si>
  <si>
    <t>※96年8月1日 健保最低保額由15,840元提高為17,280元</t>
  </si>
  <si>
    <t>※99年4月1日 健保最高保額由131,700元提高為182,000元</t>
  </si>
  <si>
    <t>※100年1月1日 健保最低保額由17,280元提高為17,880元</t>
  </si>
  <si>
    <t>※101年1月1日 健保最低保額由17,880元提高為18,780元</t>
  </si>
  <si>
    <t>※102年7月1日 健保最低保額由18,780元提高為19,047元</t>
  </si>
  <si>
    <t>※103年7月1日 健保最低保額由19,047元提高為19,273元</t>
  </si>
  <si>
    <t>※104年7月1日 健保最低保額由19,273元提高為20,008元</t>
  </si>
  <si>
    <t>※106年1月1日 健保最低保額由20,008元提高為21,009元</t>
  </si>
  <si>
    <t>※107年1月1日 健保最低保額由21,009元提高為22,000元</t>
  </si>
  <si>
    <t>※108年1月1日 健保最低保額由22,000元提高為23,100元</t>
  </si>
  <si>
    <t>※109年1月1日 健保最低保額由23,100元提高為23,800元</t>
  </si>
  <si>
    <t>※110年1月1日 健保最低保額由23,800元提高為24,000元</t>
  </si>
  <si>
    <t>※111年1月1日 健保最低保額由24,000元提高為25,250元</t>
  </si>
  <si>
    <t>NO</t>
  </si>
  <si>
    <t>※112年1月1日 健保局調整平均眷口數為0.57人</t>
  </si>
  <si>
    <t>※109年1月1日 健保局調降雇主負擔之眷口數為0.58人</t>
  </si>
  <si>
    <t>※105年1月1日 健保局調降雇主負擔之眷口數為0.61人</t>
  </si>
  <si>
    <t>※96年1月1日 健保局調降雇主負擔之眷口數為0.7人</t>
  </si>
  <si>
    <t>※110年1月1日 健保費率調整為5.17%</t>
  </si>
  <si>
    <t>◎105年5月1日起，「勞工保險投保薪資分級表」將增列投保薪資等級第20級─45,800元。</t>
  </si>
  <si>
    <t>◎106年1月1日起，依勞工保險條例規定，普通事故保險費率修正為9.5%。</t>
  </si>
  <si>
    <t>◎108年1月1日起，依勞工保險條例規定，普通事故保險費率修正為10%。</t>
  </si>
  <si>
    <t>◎110年1月1日起，依勞工保險條例規定，普通事故保險費率修正為10.5%。</t>
  </si>
  <si>
    <t>◎112年1月1日起，依勞工保險條例規定，普通事故保險費率修正為11%。</t>
  </si>
  <si>
    <t>◎106年1月1日起，基本工資由20,008元調整為21,009元。</t>
  </si>
  <si>
    <t>◎107年1月1日起，基本工資由21,009元調整為22,000元。</t>
  </si>
  <si>
    <t>「勞工保險投保薪資分級表」第1級月投保薪資金額修正為21,009元。</t>
  </si>
  <si>
    <t>◎108年1月1日起，基本工資由22,000元調整為23,100元。</t>
  </si>
  <si>
    <t>◎109年1月1日起，基本工資由23,100元調整為23,800元。</t>
  </si>
  <si>
    <t>◎110年1月1日起，基本工資由23,800元調整為24,000元。</t>
  </si>
  <si>
    <t>◎111年1月1日起，基本工資由24,000元調整為25,250元。</t>
  </si>
  <si>
    <t>◎112年1月1日起，基本工資由25,250元調整為26,400元。</t>
  </si>
  <si>
    <t>校付(不含職災)</t>
  </si>
  <si>
    <t>※112年1月1日 健保最低保額由25,250元提高為26,400元</t>
  </si>
  <si>
    <t>輔仁大學　勞工保險　暨　全民健康保險　保額保費計算
（含勞工退休金雇主提撥部份）</t>
  </si>
  <si>
    <t>【墊償基金(校付)＝投保薪資總額×0.025%】◎103年8月1日起教學工作者免計</t>
  </si>
  <si>
    <t>【就業保險(自付)＝投保薪資金額×保險費率×20%】(65歲以上，非與本國人結婚外籍人士免計)</t>
  </si>
  <si>
    <t>【就業保險(校付)＝投保薪資金額×保險費率×70%】(65歲以上，非與本國人結婚外籍人士免計)</t>
  </si>
  <si>
    <t>◎112年1月1日起，勞工保險及勞工職業災害保險之分級表第1級修正為26,400元。</t>
  </si>
  <si>
    <t>本國人</t>
  </si>
  <si>
    <t>113年1月1日起適用</t>
  </si>
  <si>
    <t>中華民國112年10月18日勞動部勞動福3字第11120153650號令修正發布，自113年1月1日生效</t>
  </si>
  <si>
    <t>26,401元至27,470元</t>
  </si>
  <si>
    <t>27,470元</t>
  </si>
  <si>
    <t>27,471元至27,600元</t>
  </si>
  <si>
    <t>◎113年1月1日起，勞工保險及勞工職業災害保險之分級表第1級修正為27,470元。</t>
  </si>
  <si>
    <t>◎113年1月1日起，基本工資由26,400元調整為27,470元。</t>
  </si>
  <si>
    <r>
      <t>《勞工職業災害保險及保護法》自111年5月1日施行，災保法月投保薪資上限訂為72,800元，下限訂同基本工資（111年為25,250元、112年為26,400元、</t>
    </r>
    <r>
      <rPr>
        <sz val="12"/>
        <color indexed="10"/>
        <rFont val="微軟正黑體"/>
        <family val="2"/>
      </rPr>
      <t>113年為27,470元</t>
    </r>
    <r>
      <rPr>
        <sz val="12"/>
        <rFont val="微軟正黑體"/>
        <family val="2"/>
      </rPr>
      <t>）。</t>
    </r>
  </si>
  <si>
    <t>中華民國112年10月16日勞動部勞動保2字第1120077361號令修正發布，自113年1月1日生效</t>
  </si>
  <si>
    <r>
      <t>【職業災害(校付)＝投保薪資總額×</t>
    </r>
    <r>
      <rPr>
        <sz val="11"/>
        <color indexed="10"/>
        <rFont val="微軟正黑體"/>
        <family val="2"/>
      </rPr>
      <t>保險費率</t>
    </r>
    <r>
      <rPr>
        <sz val="11"/>
        <rFont val="微軟正黑體"/>
        <family val="2"/>
      </rPr>
      <t>】◎106年職災費率調整為0.10%◎107年職災費率調整為0.11%◎108年職災費率調整為0.10%◎110年、111年、112年職災費率維持為0.10%</t>
    </r>
    <r>
      <rPr>
        <sz val="11"/>
        <color indexed="10"/>
        <rFont val="微軟正黑體"/>
        <family val="2"/>
      </rPr>
      <t>◎</t>
    </r>
    <r>
      <rPr>
        <sz val="11"/>
        <color indexed="10"/>
        <rFont val="微軟正黑體"/>
        <family val="2"/>
      </rPr>
      <t>113</t>
    </r>
    <r>
      <rPr>
        <sz val="11"/>
        <color indexed="10"/>
        <rFont val="微軟正黑體"/>
        <family val="2"/>
      </rPr>
      <t>年職災費率調整為</t>
    </r>
    <r>
      <rPr>
        <sz val="11"/>
        <color indexed="10"/>
        <rFont val="微軟正黑體"/>
        <family val="2"/>
      </rPr>
      <t>0.11%</t>
    </r>
  </si>
  <si>
    <t>※113年1月1日 健保最低保額由26,400元提高為27,470元</t>
  </si>
  <si>
    <t>※113年1月1日 健保局調整平均眷口數為0.56人</t>
  </si>
  <si>
    <t>【校付＝投保薪資金額×5.17%(費率)×60%×(1＋0.56眷口數)】</t>
  </si>
  <si>
    <t>【普通事故保險(自付)＝投保薪資金額×保險費率×20%】</t>
  </si>
  <si>
    <t>【普通事故保險(校付)＝投保薪資金額×保險費率×70%】</t>
  </si>
  <si>
    <t>中華民國112年11月13日衛生福利部衛部保字第1120146473號令發布</t>
  </si>
  <si>
    <t>﹝公、民營事業、機構及有一定雇主之受僱者適用﹞自113年1月1日生效</t>
  </si>
  <si>
    <r>
      <t xml:space="preserve">校付金額
</t>
    </r>
    <r>
      <rPr>
        <b/>
        <sz val="12"/>
        <color indexed="8"/>
        <rFont val="微軟正黑體"/>
        <family val="2"/>
      </rPr>
      <t>(本校職災費率為0.11%)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</si>
</sst>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_-;\-* #,##0_-;_-* &quot;-&quot;??_-;_-@_-"/>
    <numFmt numFmtId="181" formatCode="_(* #,##0_);_(* \(#,##0\);_(* &quot;-&quot;_);_(@_)"/>
    <numFmt numFmtId="182" formatCode="[$€-2]\ #,##0.00_);[Red]\([$€-2]\ #,##0.00\)"/>
    <numFmt numFmtId="183" formatCode="0_ "/>
    <numFmt numFmtId="184" formatCode="0.00_ "/>
    <numFmt numFmtId="185" formatCode="0.0000_ "/>
    <numFmt numFmtId="186" formatCode="0.000_ "/>
    <numFmt numFmtId="187" formatCode="m&quot;月&quot;d&quot;日&quot;"/>
    <numFmt numFmtId="188" formatCode="0_ ;[Red]\-0\ "/>
    <numFmt numFmtId="189" formatCode="0_);[Red]\(0\)"/>
    <numFmt numFmtId="190" formatCode="0.00_);[Red]\(0.00\)"/>
    <numFmt numFmtId="191" formatCode="0.0_ "/>
    <numFmt numFmtId="192" formatCode="m/d;@"/>
  </numFmts>
  <fonts count="11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0"/>
      <color indexed="8"/>
      <name val="Arial"/>
      <family val="2"/>
    </font>
    <font>
      <sz val="10"/>
      <color indexed="8"/>
      <name val="新細明體"/>
      <family val="1"/>
    </font>
    <font>
      <sz val="9"/>
      <name val="細明體"/>
      <family val="3"/>
    </font>
    <font>
      <sz val="10"/>
      <color indexed="8"/>
      <name val="細明體"/>
      <family val="3"/>
    </font>
    <font>
      <b/>
      <sz val="10"/>
      <color indexed="8"/>
      <name val="新細明體"/>
      <family val="1"/>
    </font>
    <font>
      <b/>
      <u val="single"/>
      <sz val="10"/>
      <color indexed="14"/>
      <name val="Arial"/>
      <family val="2"/>
    </font>
    <font>
      <b/>
      <u val="single"/>
      <sz val="10"/>
      <color indexed="14"/>
      <name val="新細明體"/>
      <family val="1"/>
    </font>
    <font>
      <sz val="10"/>
      <name val="Arial"/>
      <family val="2"/>
    </font>
    <font>
      <sz val="10"/>
      <name val="微軟正黑體"/>
      <family val="2"/>
    </font>
    <font>
      <sz val="10"/>
      <name val="細明體"/>
      <family val="3"/>
    </font>
    <font>
      <sz val="10"/>
      <color indexed="8"/>
      <name val="微軟正黑體"/>
      <family val="2"/>
    </font>
    <font>
      <b/>
      <sz val="10"/>
      <name val="Arial"/>
      <family val="2"/>
    </font>
    <font>
      <b/>
      <sz val="10"/>
      <name val="細明體"/>
      <family val="3"/>
    </font>
    <font>
      <b/>
      <sz val="10"/>
      <name val="微軟正黑體"/>
      <family val="2"/>
    </font>
    <font>
      <b/>
      <sz val="10"/>
      <color indexed="8"/>
      <name val="Arial"/>
      <family val="2"/>
    </font>
    <font>
      <b/>
      <sz val="10"/>
      <color indexed="8"/>
      <name val="微軟正黑體"/>
      <family val="2"/>
    </font>
    <font>
      <sz val="10"/>
      <color indexed="10"/>
      <name val="Arial"/>
      <family val="2"/>
    </font>
    <font>
      <sz val="10"/>
      <color indexed="10"/>
      <name val="細明體"/>
      <family val="3"/>
    </font>
    <font>
      <sz val="12"/>
      <name val="微軟正黑體"/>
      <family val="2"/>
    </font>
    <font>
      <sz val="12"/>
      <color indexed="12"/>
      <name val="微軟正黑體"/>
      <family val="2"/>
    </font>
    <font>
      <sz val="11"/>
      <name val="微軟正黑體"/>
      <family val="2"/>
    </font>
    <font>
      <sz val="12"/>
      <color indexed="10"/>
      <name val="微軟正黑體"/>
      <family val="2"/>
    </font>
    <font>
      <b/>
      <sz val="18"/>
      <name val="微軟正黑體"/>
      <family val="2"/>
    </font>
    <font>
      <sz val="11"/>
      <color indexed="8"/>
      <name val="微軟正黑體"/>
      <family val="2"/>
    </font>
    <font>
      <b/>
      <sz val="20"/>
      <name val="微軟正黑體"/>
      <family val="2"/>
    </font>
    <font>
      <b/>
      <sz val="12"/>
      <color indexed="10"/>
      <name val="微軟正黑體"/>
      <family val="2"/>
    </font>
    <font>
      <sz val="20"/>
      <name val="微軟正黑體"/>
      <family val="2"/>
    </font>
    <font>
      <sz val="14"/>
      <name val="微軟正黑體"/>
      <family val="2"/>
    </font>
    <font>
      <sz val="16"/>
      <name val="微軟正黑體"/>
      <family val="2"/>
    </font>
    <font>
      <b/>
      <sz val="14"/>
      <name val="微軟正黑體"/>
      <family val="2"/>
    </font>
    <font>
      <b/>
      <sz val="12"/>
      <color indexed="8"/>
      <name val="微軟正黑體"/>
      <family val="2"/>
    </font>
    <font>
      <b/>
      <sz val="16"/>
      <name val="微軟正黑體"/>
      <family val="2"/>
    </font>
    <font>
      <b/>
      <sz val="16"/>
      <color indexed="8"/>
      <name val="微軟正黑體"/>
      <family val="2"/>
    </font>
    <font>
      <b/>
      <sz val="14"/>
      <color indexed="30"/>
      <name val="微軟正黑體"/>
      <family val="2"/>
    </font>
    <font>
      <b/>
      <sz val="12"/>
      <color indexed="60"/>
      <name val="微軟正黑體"/>
      <family val="2"/>
    </font>
    <font>
      <b/>
      <u val="single"/>
      <sz val="14"/>
      <color indexed="12"/>
      <name val="微軟正黑體"/>
      <family val="2"/>
    </font>
    <font>
      <b/>
      <sz val="14"/>
      <color indexed="10"/>
      <name val="微軟正黑體"/>
      <family val="2"/>
    </font>
    <font>
      <sz val="12"/>
      <color indexed="56"/>
      <name val="微軟正黑體"/>
      <family val="2"/>
    </font>
    <font>
      <sz val="11"/>
      <color indexed="55"/>
      <name val="微軟正黑體"/>
      <family val="2"/>
    </font>
    <font>
      <sz val="11"/>
      <color indexed="17"/>
      <name val="微軟正黑體"/>
      <family val="2"/>
    </font>
    <font>
      <sz val="11"/>
      <color indexed="10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40"/>
      <name val="Arial"/>
      <family val="2"/>
    </font>
    <font>
      <sz val="12"/>
      <color indexed="8"/>
      <name val="微軟正黑體"/>
      <family val="2"/>
    </font>
    <font>
      <b/>
      <sz val="18"/>
      <color indexed="12"/>
      <name val="微軟正黑體"/>
      <family val="2"/>
    </font>
    <font>
      <b/>
      <sz val="20"/>
      <color indexed="30"/>
      <name val="微軟正黑體"/>
      <family val="2"/>
    </font>
    <font>
      <b/>
      <u val="single"/>
      <sz val="16"/>
      <color indexed="10"/>
      <name val="微軟正黑體"/>
      <family val="2"/>
    </font>
    <font>
      <sz val="11"/>
      <color indexed="9"/>
      <name val="微軟正黑體"/>
      <family val="2"/>
    </font>
    <font>
      <sz val="12"/>
      <color indexed="9"/>
      <name val="微軟正黑體"/>
      <family val="2"/>
    </font>
    <font>
      <b/>
      <sz val="12"/>
      <color indexed="10"/>
      <name val="新細明體"/>
      <family val="1"/>
    </font>
    <font>
      <b/>
      <u val="single"/>
      <sz val="16"/>
      <color indexed="17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FF"/>
      <name val="Arial"/>
      <family val="2"/>
    </font>
    <font>
      <b/>
      <sz val="10"/>
      <color rgb="FF0000FF"/>
      <name val="Arial"/>
      <family val="2"/>
    </font>
    <font>
      <b/>
      <sz val="10"/>
      <color rgb="FF00B050"/>
      <name val="Arial"/>
      <family val="2"/>
    </font>
    <font>
      <b/>
      <sz val="10"/>
      <color rgb="FF00B0F0"/>
      <name val="Arial"/>
      <family val="2"/>
    </font>
    <font>
      <sz val="10"/>
      <color rgb="FFFF0000"/>
      <name val="細明體"/>
      <family val="3"/>
    </font>
    <font>
      <sz val="12"/>
      <color theme="1"/>
      <name val="微軟正黑體"/>
      <family val="2"/>
    </font>
    <font>
      <sz val="12"/>
      <color rgb="FFFF0000"/>
      <name val="微軟正黑體"/>
      <family val="2"/>
    </font>
    <font>
      <b/>
      <sz val="18"/>
      <color rgb="FF0000FF"/>
      <name val="微軟正黑體"/>
      <family val="2"/>
    </font>
    <font>
      <b/>
      <sz val="20"/>
      <color rgb="FF0070C0"/>
      <name val="微軟正黑體"/>
      <family val="2"/>
    </font>
    <font>
      <b/>
      <sz val="14"/>
      <color rgb="FF0070C0"/>
      <name val="微軟正黑體"/>
      <family val="2"/>
    </font>
    <font>
      <b/>
      <sz val="16"/>
      <color theme="1"/>
      <name val="微軟正黑體"/>
      <family val="2"/>
    </font>
    <font>
      <b/>
      <u val="single"/>
      <sz val="16"/>
      <color theme="5"/>
      <name val="微軟正黑體"/>
      <family val="2"/>
    </font>
    <font>
      <sz val="11"/>
      <color theme="1"/>
      <name val="微軟正黑體"/>
      <family val="2"/>
    </font>
    <font>
      <sz val="11"/>
      <color theme="0"/>
      <name val="微軟正黑體"/>
      <family val="2"/>
    </font>
    <font>
      <sz val="12"/>
      <color theme="0"/>
      <name val="微軟正黑體"/>
      <family val="2"/>
    </font>
    <font>
      <sz val="11"/>
      <color rgb="FFFF0000"/>
      <name val="微軟正黑體"/>
      <family val="2"/>
    </font>
    <font>
      <b/>
      <sz val="12"/>
      <color rgb="FFFF0000"/>
      <name val="微軟正黑體"/>
      <family val="2"/>
    </font>
    <font>
      <b/>
      <sz val="12"/>
      <color rgb="FFFF0000"/>
      <name val="新細明體"/>
      <family val="1"/>
    </font>
    <font>
      <b/>
      <u val="single"/>
      <sz val="16"/>
      <color rgb="FF00B050"/>
      <name val="微軟正黑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 style="thin"/>
    </border>
    <border>
      <left style="medium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0" borderId="1" applyNumberFormat="0" applyFill="0" applyAlignment="0" applyProtection="0"/>
    <xf numFmtId="0" fontId="79" fillId="21" borderId="0" applyNumberFormat="0" applyBorder="0" applyAlignment="0" applyProtection="0"/>
    <xf numFmtId="9" fontId="0" fillId="0" borderId="0" applyFont="0" applyFill="0" applyBorder="0" applyAlignment="0" applyProtection="0"/>
    <xf numFmtId="0" fontId="8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30" borderId="2" applyNumberFormat="0" applyAlignment="0" applyProtection="0"/>
    <xf numFmtId="0" fontId="88" fillId="22" borderId="8" applyNumberFormat="0" applyAlignment="0" applyProtection="0"/>
    <xf numFmtId="0" fontId="89" fillId="31" borderId="9" applyNumberFormat="0" applyAlignment="0" applyProtection="0"/>
    <xf numFmtId="0" fontId="90" fillId="32" borderId="0" applyNumberFormat="0" applyBorder="0" applyAlignment="0" applyProtection="0"/>
    <xf numFmtId="0" fontId="91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92" fillId="33" borderId="10" xfId="0" applyFont="1" applyFill="1" applyBorder="1" applyAlignment="1">
      <alignment vertical="center" wrapText="1"/>
    </xf>
    <xf numFmtId="0" fontId="93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94" fillId="0" borderId="0" xfId="0" applyFont="1" applyAlignment="1">
      <alignment/>
    </xf>
    <xf numFmtId="0" fontId="92" fillId="0" borderId="0" xfId="0" applyFont="1" applyAlignment="1">
      <alignment/>
    </xf>
    <xf numFmtId="0" fontId="94" fillId="0" borderId="11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13" fillId="33" borderId="0" xfId="0" applyFont="1" applyFill="1" applyAlignment="1">
      <alignment/>
    </xf>
    <xf numFmtId="0" fontId="13" fillId="33" borderId="0" xfId="0" applyNumberFormat="1" applyFont="1" applyFill="1" applyAlignment="1" applyProtection="1">
      <alignment/>
      <protection/>
    </xf>
    <xf numFmtId="0" fontId="13" fillId="33" borderId="0" xfId="0" applyNumberFormat="1" applyFont="1" applyFill="1" applyAlignment="1" applyProtection="1">
      <alignment horizontal="right"/>
      <protection/>
    </xf>
    <xf numFmtId="0" fontId="13" fillId="33" borderId="0" xfId="0" applyFont="1" applyFill="1" applyAlignment="1">
      <alignment horizontal="right"/>
    </xf>
    <xf numFmtId="0" fontId="13" fillId="33" borderId="0" xfId="0" applyFont="1" applyFill="1" applyAlignment="1">
      <alignment vertical="center" wrapText="1"/>
    </xf>
    <xf numFmtId="0" fontId="92" fillId="33" borderId="0" xfId="0" applyNumberFormat="1" applyFont="1" applyFill="1" applyAlignment="1" applyProtection="1">
      <alignment/>
      <protection/>
    </xf>
    <xf numFmtId="0" fontId="95" fillId="33" borderId="0" xfId="0" applyFont="1" applyFill="1" applyBorder="1" applyAlignment="1">
      <alignment vertical="center"/>
    </xf>
    <xf numFmtId="0" fontId="92" fillId="33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/>
    </xf>
    <xf numFmtId="0" fontId="13" fillId="0" borderId="0" xfId="0" applyFont="1" applyAlignment="1">
      <alignment vertical="center" wrapText="1"/>
    </xf>
    <xf numFmtId="0" fontId="92" fillId="34" borderId="11" xfId="0" applyFont="1" applyFill="1" applyBorder="1" applyAlignment="1">
      <alignment/>
    </xf>
    <xf numFmtId="0" fontId="92" fillId="0" borderId="11" xfId="0" applyFont="1" applyBorder="1" applyAlignment="1">
      <alignment/>
    </xf>
    <xf numFmtId="0" fontId="92" fillId="33" borderId="11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NumberFormat="1" applyFont="1" applyAlignment="1">
      <alignment/>
    </xf>
    <xf numFmtId="0" fontId="94" fillId="34" borderId="11" xfId="0" applyFont="1" applyFill="1" applyBorder="1" applyAlignment="1">
      <alignment/>
    </xf>
    <xf numFmtId="0" fontId="17" fillId="33" borderId="0" xfId="0" applyFont="1" applyFill="1" applyAlignment="1">
      <alignment horizontal="left" vertical="center" wrapText="1"/>
    </xf>
    <xf numFmtId="0" fontId="17" fillId="34" borderId="0" xfId="0" applyFont="1" applyFill="1" applyAlignment="1">
      <alignment/>
    </xf>
    <xf numFmtId="0" fontId="17" fillId="33" borderId="0" xfId="0" applyFont="1" applyFill="1" applyAlignment="1">
      <alignment wrapText="1"/>
    </xf>
    <xf numFmtId="0" fontId="17" fillId="33" borderId="0" xfId="0" applyFont="1" applyFill="1" applyAlignment="1">
      <alignment horizontal="right" wrapText="1"/>
    </xf>
    <xf numFmtId="0" fontId="17" fillId="0" borderId="0" xfId="0" applyFont="1" applyAlignment="1">
      <alignment horizontal="left" wrapText="1"/>
    </xf>
    <xf numFmtId="0" fontId="17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94" fillId="33" borderId="0" xfId="0" applyNumberFormat="1" applyFont="1" applyFill="1" applyAlignment="1" applyProtection="1">
      <alignment/>
      <protection/>
    </xf>
    <xf numFmtId="0" fontId="95" fillId="0" borderId="0" xfId="0" applyFont="1" applyAlignment="1">
      <alignment/>
    </xf>
    <xf numFmtId="0" fontId="17" fillId="33" borderId="0" xfId="0" applyFont="1" applyFill="1" applyAlignment="1">
      <alignment/>
    </xf>
    <xf numFmtId="0" fontId="17" fillId="33" borderId="0" xfId="0" applyNumberFormat="1" applyFont="1" applyFill="1" applyAlignment="1" applyProtection="1">
      <alignment/>
      <protection/>
    </xf>
    <xf numFmtId="0" fontId="96" fillId="33" borderId="0" xfId="0" applyFont="1" applyFill="1" applyAlignment="1">
      <alignment/>
    </xf>
    <xf numFmtId="0" fontId="97" fillId="33" borderId="0" xfId="0" applyFont="1" applyFill="1" applyAlignment="1">
      <alignment/>
    </xf>
    <xf numFmtId="0" fontId="98" fillId="33" borderId="0" xfId="0" applyFont="1" applyFill="1" applyAlignment="1">
      <alignment/>
    </xf>
    <xf numFmtId="184" fontId="13" fillId="0" borderId="0" xfId="0" applyNumberFormat="1" applyFont="1" applyAlignment="1">
      <alignment/>
    </xf>
    <xf numFmtId="183" fontId="94" fillId="34" borderId="11" xfId="0" applyNumberFormat="1" applyFont="1" applyFill="1" applyBorder="1" applyAlignment="1">
      <alignment/>
    </xf>
    <xf numFmtId="189" fontId="13" fillId="0" borderId="0" xfId="0" applyNumberFormat="1" applyFont="1" applyAlignment="1">
      <alignment/>
    </xf>
    <xf numFmtId="190" fontId="13" fillId="0" borderId="0" xfId="0" applyNumberFormat="1" applyFont="1" applyAlignment="1">
      <alignment/>
    </xf>
    <xf numFmtId="189" fontId="15" fillId="0" borderId="0" xfId="0" applyNumberFormat="1" applyFont="1" applyAlignment="1">
      <alignment/>
    </xf>
    <xf numFmtId="189" fontId="13" fillId="0" borderId="0" xfId="0" applyNumberFormat="1" applyFont="1" applyAlignment="1" quotePrefix="1">
      <alignment/>
    </xf>
    <xf numFmtId="183" fontId="13" fillId="0" borderId="0" xfId="0" applyNumberFormat="1" applyFont="1" applyAlignment="1">
      <alignment/>
    </xf>
    <xf numFmtId="189" fontId="99" fillId="0" borderId="0" xfId="0" applyNumberFormat="1" applyFont="1" applyAlignment="1">
      <alignment/>
    </xf>
    <xf numFmtId="0" fontId="100" fillId="0" borderId="0" xfId="0" applyFont="1" applyAlignment="1">
      <alignment horizontal="right"/>
    </xf>
    <xf numFmtId="191" fontId="13" fillId="0" borderId="0" xfId="0" applyNumberFormat="1" applyFont="1" applyAlignment="1">
      <alignment/>
    </xf>
    <xf numFmtId="0" fontId="92" fillId="33" borderId="0" xfId="0" applyFont="1" applyFill="1" applyAlignment="1">
      <alignment/>
    </xf>
    <xf numFmtId="0" fontId="24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176" fontId="24" fillId="0" borderId="22" xfId="0" applyNumberFormat="1" applyFont="1" applyBorder="1" applyAlignment="1">
      <alignment horizontal="center" vertical="center"/>
    </xf>
    <xf numFmtId="176" fontId="25" fillId="0" borderId="13" xfId="0" applyNumberFormat="1" applyFont="1" applyBorder="1" applyAlignment="1">
      <alignment horizontal="center" vertical="center"/>
    </xf>
    <xf numFmtId="176" fontId="24" fillId="0" borderId="14" xfId="0" applyNumberFormat="1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center" vertical="center"/>
    </xf>
    <xf numFmtId="176" fontId="25" fillId="0" borderId="10" xfId="0" applyNumberFormat="1" applyFont="1" applyBorder="1" applyAlignment="1">
      <alignment horizontal="center" vertical="center"/>
    </xf>
    <xf numFmtId="176" fontId="24" fillId="0" borderId="15" xfId="0" applyNumberFormat="1" applyFont="1" applyBorder="1" applyAlignment="1">
      <alignment horizontal="center" vertical="center"/>
    </xf>
    <xf numFmtId="176" fontId="24" fillId="0" borderId="0" xfId="0" applyNumberFormat="1" applyFont="1" applyAlignment="1">
      <alignment horizontal="center" vertical="center"/>
    </xf>
    <xf numFmtId="176" fontId="24" fillId="0" borderId="23" xfId="0" applyNumberFormat="1" applyFont="1" applyBorder="1" applyAlignment="1">
      <alignment horizontal="center" vertical="center"/>
    </xf>
    <xf numFmtId="176" fontId="24" fillId="0" borderId="24" xfId="0" applyNumberFormat="1" applyFont="1" applyBorder="1" applyAlignment="1">
      <alignment horizontal="center" vertical="center"/>
    </xf>
    <xf numFmtId="176" fontId="24" fillId="0" borderId="25" xfId="0" applyNumberFormat="1" applyFont="1" applyBorder="1" applyAlignment="1">
      <alignment horizontal="center" vertical="center"/>
    </xf>
    <xf numFmtId="176" fontId="24" fillId="0" borderId="26" xfId="0" applyNumberFormat="1" applyFont="1" applyBorder="1" applyAlignment="1">
      <alignment horizontal="center" vertical="center"/>
    </xf>
    <xf numFmtId="176" fontId="24" fillId="0" borderId="27" xfId="0" applyNumberFormat="1" applyFont="1" applyBorder="1" applyAlignment="1">
      <alignment horizontal="center" vertical="center"/>
    </xf>
    <xf numFmtId="176" fontId="24" fillId="0" borderId="0" xfId="0" applyNumberFormat="1" applyFont="1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176" fontId="24" fillId="0" borderId="28" xfId="0" applyNumberFormat="1" applyFont="1" applyBorder="1" applyAlignment="1">
      <alignment horizontal="center" vertical="center"/>
    </xf>
    <xf numFmtId="176" fontId="25" fillId="0" borderId="29" xfId="0" applyNumberFormat="1" applyFont="1" applyBorder="1" applyAlignment="1">
      <alignment horizontal="center" vertical="center"/>
    </xf>
    <xf numFmtId="176" fontId="24" fillId="0" borderId="30" xfId="0" applyNumberFormat="1" applyFont="1" applyBorder="1" applyAlignment="1">
      <alignment horizontal="center" vertical="center"/>
    </xf>
    <xf numFmtId="176" fontId="24" fillId="0" borderId="31" xfId="0" applyNumberFormat="1" applyFont="1" applyBorder="1" applyAlignment="1">
      <alignment horizontal="center" vertical="center"/>
    </xf>
    <xf numFmtId="176" fontId="25" fillId="0" borderId="3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101" fillId="0" borderId="0" xfId="0" applyFont="1" applyAlignment="1">
      <alignment horizontal="center"/>
    </xf>
    <xf numFmtId="0" fontId="101" fillId="0" borderId="0" xfId="0" applyFont="1" applyBorder="1" applyAlignment="1">
      <alignment horizontal="left"/>
    </xf>
    <xf numFmtId="0" fontId="10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02" fillId="0" borderId="0" xfId="0" applyFont="1" applyAlignment="1">
      <alignment horizontal="center"/>
    </xf>
    <xf numFmtId="0" fontId="102" fillId="0" borderId="0" xfId="0" applyFont="1" applyBorder="1" applyAlignment="1">
      <alignment horizontal="left"/>
    </xf>
    <xf numFmtId="0" fontId="102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33" fillId="0" borderId="0" xfId="0" applyFont="1" applyFill="1" applyAlignment="1">
      <alignment/>
    </xf>
    <xf numFmtId="0" fontId="34" fillId="0" borderId="32" xfId="0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103" fillId="0" borderId="0" xfId="0" applyFont="1" applyFill="1" applyAlignment="1">
      <alignment vertical="center" shrinkToFit="1"/>
    </xf>
    <xf numFmtId="0" fontId="34" fillId="0" borderId="32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41" fontId="104" fillId="6" borderId="36" xfId="0" applyNumberFormat="1" applyFont="1" applyFill="1" applyBorder="1" applyAlignment="1">
      <alignment horizontal="center" vertical="center"/>
    </xf>
    <xf numFmtId="41" fontId="104" fillId="7" borderId="37" xfId="0" applyNumberFormat="1" applyFont="1" applyFill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33" fillId="0" borderId="0" xfId="0" applyFont="1" applyFill="1" applyAlignment="1">
      <alignment horizontal="center" vertical="center"/>
    </xf>
    <xf numFmtId="0" fontId="33" fillId="0" borderId="37" xfId="0" applyFont="1" applyFill="1" applyBorder="1" applyAlignment="1">
      <alignment vertical="center"/>
    </xf>
    <xf numFmtId="41" fontId="33" fillId="0" borderId="37" xfId="0" applyNumberFormat="1" applyFont="1" applyFill="1" applyBorder="1" applyAlignment="1">
      <alignment horizontal="center" vertical="center"/>
    </xf>
    <xf numFmtId="0" fontId="105" fillId="0" borderId="37" xfId="0" applyFont="1" applyFill="1" applyBorder="1" applyAlignment="1">
      <alignment vertical="center"/>
    </xf>
    <xf numFmtId="0" fontId="33" fillId="0" borderId="37" xfId="0" applyFont="1" applyFill="1" applyBorder="1" applyAlignment="1">
      <alignment horizontal="center" vertical="center"/>
    </xf>
    <xf numFmtId="3" fontId="33" fillId="0" borderId="0" xfId="0" applyNumberFormat="1" applyFont="1" applyFill="1" applyAlignment="1">
      <alignment vertical="center"/>
    </xf>
    <xf numFmtId="0" fontId="37" fillId="6" borderId="37" xfId="0" applyFont="1" applyFill="1" applyBorder="1" applyAlignment="1">
      <alignment horizontal="center" vertical="center"/>
    </xf>
    <xf numFmtId="41" fontId="37" fillId="6" borderId="36" xfId="0" applyNumberFormat="1" applyFont="1" applyFill="1" applyBorder="1" applyAlignment="1">
      <alignment horizontal="center" vertical="center"/>
    </xf>
    <xf numFmtId="0" fontId="37" fillId="7" borderId="38" xfId="0" applyFont="1" applyFill="1" applyBorder="1" applyAlignment="1">
      <alignment horizontal="center" vertical="center"/>
    </xf>
    <xf numFmtId="41" fontId="37" fillId="7" borderId="37" xfId="0" applyNumberFormat="1" applyFont="1" applyFill="1" applyBorder="1" applyAlignment="1">
      <alignment horizontal="center" vertical="center"/>
    </xf>
    <xf numFmtId="0" fontId="106" fillId="6" borderId="37" xfId="0" applyFont="1" applyFill="1" applyBorder="1" applyAlignment="1">
      <alignment horizontal="center" vertical="center"/>
    </xf>
    <xf numFmtId="0" fontId="38" fillId="6" borderId="37" xfId="0" applyFont="1" applyFill="1" applyBorder="1" applyAlignment="1">
      <alignment horizontal="center" vertical="center" wrapText="1"/>
    </xf>
    <xf numFmtId="0" fontId="37" fillId="3" borderId="38" xfId="0" applyFont="1" applyFill="1" applyBorder="1" applyAlignment="1">
      <alignment horizontal="center" vertical="center" wrapText="1"/>
    </xf>
    <xf numFmtId="0" fontId="41" fillId="33" borderId="39" xfId="46" applyFont="1" applyFill="1" applyBorder="1" applyAlignment="1" applyProtection="1">
      <alignment horizontal="center" vertical="center"/>
      <protection locked="0"/>
    </xf>
    <xf numFmtId="176" fontId="104" fillId="0" borderId="32" xfId="0" applyNumberFormat="1" applyFont="1" applyBorder="1" applyAlignment="1" applyProtection="1">
      <alignment horizontal="center" vertical="center"/>
      <protection locked="0"/>
    </xf>
    <xf numFmtId="176" fontId="24" fillId="0" borderId="40" xfId="0" applyNumberFormat="1" applyFont="1" applyBorder="1" applyAlignment="1">
      <alignment horizontal="center" vertical="center"/>
    </xf>
    <xf numFmtId="176" fontId="25" fillId="0" borderId="40" xfId="0" applyNumberFormat="1" applyFont="1" applyBorder="1" applyAlignment="1">
      <alignment horizontal="center" vertical="center"/>
    </xf>
    <xf numFmtId="0" fontId="32" fillId="0" borderId="0" xfId="0" applyFont="1" applyAlignment="1">
      <alignment/>
    </xf>
    <xf numFmtId="0" fontId="37" fillId="3" borderId="38" xfId="0" applyFont="1" applyFill="1" applyBorder="1" applyAlignment="1">
      <alignment horizontal="center" vertical="center"/>
    </xf>
    <xf numFmtId="0" fontId="41" fillId="33" borderId="0" xfId="46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/>
    </xf>
    <xf numFmtId="0" fontId="37" fillId="33" borderId="0" xfId="0" applyFont="1" applyFill="1" applyBorder="1" applyAlignment="1">
      <alignment horizontal="center" vertical="center"/>
    </xf>
    <xf numFmtId="41" fontId="37" fillId="33" borderId="0" xfId="0" applyNumberFormat="1" applyFont="1" applyFill="1" applyBorder="1" applyAlignment="1">
      <alignment horizontal="center" vertical="center"/>
    </xf>
    <xf numFmtId="41" fontId="33" fillId="33" borderId="0" xfId="0" applyNumberFormat="1" applyFont="1" applyFill="1" applyBorder="1" applyAlignment="1">
      <alignment horizontal="center" vertical="center" wrapText="1"/>
    </xf>
    <xf numFmtId="41" fontId="104" fillId="33" borderId="0" xfId="0" applyNumberFormat="1" applyFont="1" applyFill="1" applyBorder="1" applyAlignment="1">
      <alignment horizontal="center" vertical="center"/>
    </xf>
    <xf numFmtId="0" fontId="107" fillId="33" borderId="0" xfId="46" applyFont="1" applyFill="1" applyBorder="1" applyAlignment="1" applyProtection="1">
      <alignment horizontal="center" vertical="center"/>
      <protection locked="0"/>
    </xf>
    <xf numFmtId="41" fontId="37" fillId="3" borderId="37" xfId="0" applyNumberFormat="1" applyFont="1" applyFill="1" applyBorder="1" applyAlignment="1">
      <alignment horizontal="center" vertical="center"/>
    </xf>
    <xf numFmtId="41" fontId="33" fillId="3" borderId="37" xfId="0" applyNumberFormat="1" applyFont="1" applyFill="1" applyBorder="1" applyAlignment="1">
      <alignment horizontal="center" vertical="center" wrapText="1"/>
    </xf>
    <xf numFmtId="41" fontId="104" fillId="3" borderId="37" xfId="0" applyNumberFormat="1" applyFont="1" applyFill="1" applyBorder="1" applyAlignment="1">
      <alignment horizontal="center" vertical="center"/>
    </xf>
    <xf numFmtId="0" fontId="41" fillId="33" borderId="41" xfId="46" applyFont="1" applyFill="1" applyBorder="1" applyAlignment="1" applyProtection="1">
      <alignment horizontal="center" vertical="center"/>
      <protection locked="0"/>
    </xf>
    <xf numFmtId="0" fontId="41" fillId="33" borderId="42" xfId="46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28" fillId="35" borderId="0" xfId="0" applyFont="1" applyFill="1" applyBorder="1" applyAlignment="1">
      <alignment horizontal="centerContinuous"/>
    </xf>
    <xf numFmtId="0" fontId="24" fillId="35" borderId="0" xfId="0" applyFont="1" applyFill="1" applyBorder="1" applyAlignment="1">
      <alignment horizontal="centerContinuous"/>
    </xf>
    <xf numFmtId="0" fontId="102" fillId="35" borderId="0" xfId="0" applyFont="1" applyFill="1" applyAlignment="1">
      <alignment/>
    </xf>
    <xf numFmtId="0" fontId="14" fillId="35" borderId="0" xfId="0" applyFont="1" applyFill="1" applyBorder="1" applyAlignment="1">
      <alignment horizontal="right"/>
    </xf>
    <xf numFmtId="0" fontId="24" fillId="35" borderId="43" xfId="0" applyFont="1" applyFill="1" applyBorder="1" applyAlignment="1">
      <alignment/>
    </xf>
    <xf numFmtId="176" fontId="26" fillId="0" borderId="0" xfId="0" applyNumberFormat="1" applyFont="1" applyAlignment="1">
      <alignment horizontal="center"/>
    </xf>
    <xf numFmtId="0" fontId="24" fillId="35" borderId="44" xfId="0" applyFont="1" applyFill="1" applyBorder="1" applyAlignment="1">
      <alignment horizontal="center" vertical="center"/>
    </xf>
    <xf numFmtId="176" fontId="26" fillId="0" borderId="0" xfId="0" applyNumberFormat="1" applyFont="1" applyAlignment="1">
      <alignment horizontal="center" vertical="center"/>
    </xf>
    <xf numFmtId="0" fontId="24" fillId="35" borderId="45" xfId="0" applyFont="1" applyFill="1" applyBorder="1" applyAlignment="1">
      <alignment horizontal="center" vertical="center"/>
    </xf>
    <xf numFmtId="41" fontId="24" fillId="35" borderId="0" xfId="35" applyFont="1" applyFill="1" applyBorder="1" applyAlignment="1">
      <alignment horizontal="center" vertical="center"/>
    </xf>
    <xf numFmtId="0" fontId="24" fillId="35" borderId="20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43" fillId="35" borderId="17" xfId="0" applyFont="1" applyFill="1" applyBorder="1" applyAlignment="1">
      <alignment horizontal="center" vertical="center"/>
    </xf>
    <xf numFmtId="0" fontId="43" fillId="35" borderId="21" xfId="0" applyFont="1" applyFill="1" applyBorder="1" applyAlignment="1">
      <alignment horizontal="center" vertical="center"/>
    </xf>
    <xf numFmtId="0" fontId="24" fillId="35" borderId="27" xfId="0" applyFont="1" applyFill="1" applyBorder="1" applyAlignment="1">
      <alignment horizontal="center" vertical="center"/>
    </xf>
    <xf numFmtId="0" fontId="24" fillId="35" borderId="46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1" fontId="44" fillId="0" borderId="0" xfId="0" applyNumberFormat="1" applyFont="1" applyAlignment="1">
      <alignment vertical="center"/>
    </xf>
    <xf numFmtId="41" fontId="108" fillId="0" borderId="0" xfId="0" applyNumberFormat="1" applyFont="1" applyAlignment="1">
      <alignment vertical="center"/>
    </xf>
    <xf numFmtId="0" fontId="108" fillId="0" borderId="0" xfId="0" applyFont="1" applyAlignment="1">
      <alignment/>
    </xf>
    <xf numFmtId="0" fontId="108" fillId="0" borderId="0" xfId="0" applyFont="1" applyAlignment="1">
      <alignment horizontal="center" vertical="center"/>
    </xf>
    <xf numFmtId="0" fontId="108" fillId="0" borderId="0" xfId="0" applyFont="1" applyAlignment="1">
      <alignment vertical="center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right" vertical="center" wrapText="1"/>
    </xf>
    <xf numFmtId="0" fontId="24" fillId="0" borderId="10" xfId="0" applyFont="1" applyBorder="1" applyAlignment="1">
      <alignment horizontal="right" vertical="center" wrapText="1"/>
    </xf>
    <xf numFmtId="0" fontId="24" fillId="0" borderId="40" xfId="0" applyFont="1" applyBorder="1" applyAlignment="1">
      <alignment vertical="center"/>
    </xf>
    <xf numFmtId="0" fontId="24" fillId="0" borderId="40" xfId="0" applyFont="1" applyBorder="1" applyAlignment="1">
      <alignment vertical="top" wrapText="1"/>
    </xf>
    <xf numFmtId="0" fontId="24" fillId="0" borderId="46" xfId="0" applyFont="1" applyBorder="1" applyAlignment="1">
      <alignment vertical="top" wrapText="1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top" wrapText="1"/>
    </xf>
    <xf numFmtId="0" fontId="24" fillId="0" borderId="17" xfId="0" applyFont="1" applyBorder="1" applyAlignment="1">
      <alignment vertical="top" wrapText="1"/>
    </xf>
    <xf numFmtId="176" fontId="25" fillId="0" borderId="49" xfId="0" applyNumberFormat="1" applyFont="1" applyBorder="1" applyAlignment="1">
      <alignment horizontal="center" vertical="center"/>
    </xf>
    <xf numFmtId="0" fontId="102" fillId="0" borderId="0" xfId="0" applyFont="1" applyAlignment="1">
      <alignment/>
    </xf>
    <xf numFmtId="176" fontId="109" fillId="0" borderId="0" xfId="0" applyNumberFormat="1" applyFont="1" applyAlignment="1">
      <alignment horizontal="center" vertical="center"/>
    </xf>
    <xf numFmtId="0" fontId="110" fillId="35" borderId="50" xfId="0" applyFont="1" applyFill="1" applyBorder="1" applyAlignment="1">
      <alignment horizontal="center" vertical="center"/>
    </xf>
    <xf numFmtId="41" fontId="110" fillId="35" borderId="51" xfId="35" applyFont="1" applyFill="1" applyBorder="1" applyAlignment="1">
      <alignment horizontal="center" vertical="center"/>
    </xf>
    <xf numFmtId="0" fontId="110" fillId="35" borderId="52" xfId="0" applyFont="1" applyFill="1" applyBorder="1" applyAlignment="1">
      <alignment horizontal="center" vertical="center"/>
    </xf>
    <xf numFmtId="0" fontId="110" fillId="35" borderId="53" xfId="0" applyFont="1" applyFill="1" applyBorder="1" applyAlignment="1">
      <alignment horizontal="center" vertical="center"/>
    </xf>
    <xf numFmtId="0" fontId="110" fillId="35" borderId="54" xfId="0" applyFont="1" applyFill="1" applyBorder="1" applyAlignment="1">
      <alignment horizontal="center" vertical="center"/>
    </xf>
    <xf numFmtId="0" fontId="10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left"/>
    </xf>
    <xf numFmtId="0" fontId="111" fillId="0" borderId="0" xfId="0" applyFont="1" applyBorder="1" applyAlignment="1">
      <alignment horizontal="left"/>
    </xf>
    <xf numFmtId="0" fontId="111" fillId="0" borderId="0" xfId="0" applyFont="1" applyAlignment="1">
      <alignment/>
    </xf>
    <xf numFmtId="0" fontId="24" fillId="0" borderId="0" xfId="0" applyFont="1" applyAlignment="1">
      <alignment horizontal="left" vertical="center"/>
    </xf>
    <xf numFmtId="0" fontId="24" fillId="35" borderId="27" xfId="0" applyFont="1" applyFill="1" applyBorder="1" applyAlignment="1">
      <alignment horizontal="center" vertical="center" wrapText="1"/>
    </xf>
    <xf numFmtId="0" fontId="24" fillId="35" borderId="55" xfId="0" applyFont="1" applyFill="1" applyBorder="1" applyAlignment="1">
      <alignment horizontal="center" vertical="center"/>
    </xf>
    <xf numFmtId="41" fontId="24" fillId="35" borderId="56" xfId="35" applyFont="1" applyFill="1" applyBorder="1" applyAlignment="1">
      <alignment horizontal="center" vertical="center"/>
    </xf>
    <xf numFmtId="0" fontId="24" fillId="35" borderId="57" xfId="0" applyFont="1" applyFill="1" applyBorder="1" applyAlignment="1">
      <alignment horizontal="center" vertical="center"/>
    </xf>
    <xf numFmtId="0" fontId="43" fillId="35" borderId="44" xfId="0" applyFont="1" applyFill="1" applyBorder="1" applyAlignment="1">
      <alignment horizontal="center" vertical="center"/>
    </xf>
    <xf numFmtId="0" fontId="43" fillId="35" borderId="58" xfId="0" applyFont="1" applyFill="1" applyBorder="1" applyAlignment="1">
      <alignment horizontal="center" vertical="center"/>
    </xf>
    <xf numFmtId="0" fontId="104" fillId="0" borderId="59" xfId="33" applyFont="1" applyBorder="1" applyAlignment="1" applyProtection="1">
      <alignment horizontal="center" vertical="center"/>
      <protection locked="0"/>
    </xf>
    <xf numFmtId="0" fontId="24" fillId="0" borderId="60" xfId="0" applyFont="1" applyBorder="1" applyAlignment="1">
      <alignment/>
    </xf>
    <xf numFmtId="0" fontId="24" fillId="0" borderId="56" xfId="0" applyFont="1" applyBorder="1" applyAlignment="1">
      <alignment/>
    </xf>
    <xf numFmtId="0" fontId="24" fillId="0" borderId="44" xfId="0" applyFont="1" applyBorder="1" applyAlignment="1">
      <alignment/>
    </xf>
    <xf numFmtId="0" fontId="102" fillId="0" borderId="0" xfId="0" applyFont="1" applyAlignment="1">
      <alignment horizontal="left" vertical="center"/>
    </xf>
    <xf numFmtId="176" fontId="24" fillId="0" borderId="61" xfId="0" applyNumberFormat="1" applyFont="1" applyBorder="1" applyAlignment="1">
      <alignment horizontal="center" vertical="center"/>
    </xf>
    <xf numFmtId="0" fontId="108" fillId="0" borderId="0" xfId="0" applyFont="1" applyBorder="1" applyAlignment="1">
      <alignment horizontal="left"/>
    </xf>
    <xf numFmtId="0" fontId="112" fillId="0" borderId="0" xfId="0" applyFont="1" applyBorder="1" applyAlignment="1">
      <alignment horizontal="left"/>
    </xf>
    <xf numFmtId="0" fontId="112" fillId="33" borderId="0" xfId="0" applyFont="1" applyFill="1" applyAlignment="1">
      <alignment horizontal="center" vertical="center"/>
    </xf>
    <xf numFmtId="0" fontId="113" fillId="0" borderId="0" xfId="0" applyFont="1" applyAlignment="1">
      <alignment horizontal="center" vertical="center"/>
    </xf>
    <xf numFmtId="0" fontId="37" fillId="6" borderId="37" xfId="0" applyFont="1" applyFill="1" applyBorder="1" applyAlignment="1">
      <alignment horizontal="center" vertical="center"/>
    </xf>
    <xf numFmtId="0" fontId="37" fillId="6" borderId="36" xfId="0" applyFont="1" applyFill="1" applyBorder="1" applyAlignment="1">
      <alignment horizontal="center" vertical="center"/>
    </xf>
    <xf numFmtId="0" fontId="37" fillId="7" borderId="38" xfId="0" applyFont="1" applyFill="1" applyBorder="1" applyAlignment="1">
      <alignment horizontal="center" vertical="center"/>
    </xf>
    <xf numFmtId="0" fontId="37" fillId="7" borderId="37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32" fillId="0" borderId="0" xfId="0" applyFont="1" applyAlignment="1">
      <alignment/>
    </xf>
    <xf numFmtId="0" fontId="104" fillId="0" borderId="59" xfId="0" applyFont="1" applyFill="1" applyBorder="1" applyAlignment="1" applyProtection="1">
      <alignment horizontal="center" vertical="center"/>
      <protection locked="0"/>
    </xf>
    <xf numFmtId="0" fontId="104" fillId="0" borderId="62" xfId="0" applyFont="1" applyBorder="1" applyAlignment="1" applyProtection="1">
      <alignment horizontal="center"/>
      <protection locked="0"/>
    </xf>
    <xf numFmtId="0" fontId="103" fillId="0" borderId="0" xfId="0" applyFont="1" applyFill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0" fontId="37" fillId="3" borderId="38" xfId="0" applyFont="1" applyFill="1" applyBorder="1" applyAlignment="1">
      <alignment horizontal="center" vertical="center"/>
    </xf>
    <xf numFmtId="0" fontId="37" fillId="3" borderId="37" xfId="0" applyFont="1" applyFill="1" applyBorder="1" applyAlignment="1">
      <alignment horizontal="center" vertical="center"/>
    </xf>
    <xf numFmtId="0" fontId="114" fillId="3" borderId="38" xfId="46" applyFont="1" applyFill="1" applyBorder="1" applyAlignment="1" applyProtection="1">
      <alignment horizontal="center" vertical="center"/>
      <protection locked="0"/>
    </xf>
    <xf numFmtId="0" fontId="114" fillId="3" borderId="37" xfId="46" applyFont="1" applyFill="1" applyBorder="1" applyAlignment="1" applyProtection="1">
      <alignment horizontal="center" vertical="center"/>
      <protection locked="0"/>
    </xf>
    <xf numFmtId="0" fontId="114" fillId="6" borderId="37" xfId="46" applyFont="1" applyFill="1" applyBorder="1" applyAlignment="1" applyProtection="1">
      <alignment horizontal="center" vertical="center"/>
      <protection locked="0"/>
    </xf>
    <xf numFmtId="0" fontId="114" fillId="6" borderId="36" xfId="46" applyFont="1" applyFill="1" applyBorder="1" applyAlignment="1" applyProtection="1">
      <alignment horizontal="center" vertical="center"/>
      <protection locked="0"/>
    </xf>
    <xf numFmtId="0" fontId="114" fillId="7" borderId="38" xfId="46" applyFont="1" applyFill="1" applyBorder="1" applyAlignment="1" applyProtection="1">
      <alignment horizontal="center" vertical="center"/>
      <protection locked="0"/>
    </xf>
    <xf numFmtId="0" fontId="114" fillId="7" borderId="37" xfId="46" applyFont="1" applyFill="1" applyBorder="1" applyAlignment="1" applyProtection="1">
      <alignment horizontal="center" vertical="center"/>
      <protection locked="0"/>
    </xf>
    <xf numFmtId="0" fontId="42" fillId="0" borderId="39" xfId="0" applyFont="1" applyBorder="1" applyAlignment="1">
      <alignment horizontal="left" wrapText="1"/>
    </xf>
    <xf numFmtId="0" fontId="35" fillId="0" borderId="39" xfId="0" applyFont="1" applyBorder="1" applyAlignment="1">
      <alignment/>
    </xf>
    <xf numFmtId="0" fontId="24" fillId="0" borderId="63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 wrapText="1"/>
    </xf>
    <xf numFmtId="0" fontId="24" fillId="0" borderId="68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24" fillId="35" borderId="69" xfId="0" applyFont="1" applyFill="1" applyBorder="1" applyAlignment="1">
      <alignment horizontal="center" vertical="center" wrapText="1"/>
    </xf>
    <xf numFmtId="0" fontId="24" fillId="35" borderId="45" xfId="0" applyFont="1" applyFill="1" applyBorder="1" applyAlignment="1">
      <alignment horizontal="center" vertical="center" wrapText="1"/>
    </xf>
    <xf numFmtId="0" fontId="24" fillId="35" borderId="64" xfId="0" applyFont="1" applyFill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24" fillId="35" borderId="71" xfId="0" applyFont="1" applyFill="1" applyBorder="1" applyAlignment="1">
      <alignment vertical="center" wrapText="1"/>
    </xf>
    <xf numFmtId="0" fontId="24" fillId="35" borderId="20" xfId="0" applyFont="1" applyFill="1" applyBorder="1" applyAlignment="1">
      <alignment vertical="center" wrapText="1"/>
    </xf>
    <xf numFmtId="0" fontId="24" fillId="35" borderId="72" xfId="0" applyFont="1" applyFill="1" applyBorder="1" applyAlignment="1">
      <alignment vertical="center" wrapText="1"/>
    </xf>
    <xf numFmtId="0" fontId="24" fillId="35" borderId="21" xfId="0" applyFont="1" applyFill="1" applyBorder="1" applyAlignment="1">
      <alignment vertical="center" wrapText="1"/>
    </xf>
    <xf numFmtId="0" fontId="31" fillId="35" borderId="51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112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0" fontId="102" fillId="0" borderId="0" xfId="0" applyFont="1" applyBorder="1" applyAlignment="1">
      <alignment/>
    </xf>
    <xf numFmtId="0" fontId="24" fillId="0" borderId="0" xfId="0" applyFont="1" applyBorder="1" applyAlignment="1">
      <alignment wrapText="1"/>
    </xf>
    <xf numFmtId="0" fontId="24" fillId="0" borderId="17" xfId="0" applyFont="1" applyBorder="1" applyAlignment="1">
      <alignment wrapText="1"/>
    </xf>
    <xf numFmtId="0" fontId="6" fillId="33" borderId="0" xfId="0" applyFont="1" applyFill="1" applyAlignment="1">
      <alignment wrapText="1"/>
    </xf>
    <xf numFmtId="0" fontId="92" fillId="33" borderId="0" xfId="0" applyFont="1" applyFill="1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工作表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</xdr:col>
      <xdr:colOff>266700</xdr:colOff>
      <xdr:row>4</xdr:row>
      <xdr:rowOff>19050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3736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showGridLines="0" tabSelected="1" zoomScale="75" zoomScaleNormal="75" zoomScalePageLayoutView="0" workbookViewId="0" topLeftCell="A1">
      <selection activeCell="B2" sqref="B2"/>
    </sheetView>
  </sheetViews>
  <sheetFormatPr defaultColWidth="9.00390625" defaultRowHeight="30" customHeight="1"/>
  <cols>
    <col min="1" max="1" width="20.125" style="100" customWidth="1"/>
    <col min="2" max="2" width="20.625" style="100" customWidth="1"/>
    <col min="3" max="3" width="20.125" style="100" customWidth="1"/>
    <col min="4" max="4" width="20.625" style="100" customWidth="1"/>
    <col min="5" max="5" width="20.125" style="97" customWidth="1"/>
    <col min="6" max="6" width="20.625" style="97" customWidth="1"/>
    <col min="7" max="7" width="14.25390625" style="97" customWidth="1"/>
    <col min="8" max="16384" width="9.00390625" style="97" customWidth="1"/>
  </cols>
  <sheetData>
    <row r="1" spans="1:7" ht="65.25" customHeight="1" thickBot="1">
      <c r="A1" s="212" t="s">
        <v>552</v>
      </c>
      <c r="B1" s="213"/>
      <c r="C1" s="213"/>
      <c r="D1" s="213"/>
      <c r="E1" s="213"/>
      <c r="F1" s="213"/>
      <c r="G1" s="127"/>
    </row>
    <row r="2" spans="1:7" ht="36.75" customHeight="1" thickBot="1">
      <c r="A2" s="98" t="s">
        <v>302</v>
      </c>
      <c r="B2" s="124">
        <v>27470</v>
      </c>
      <c r="C2" s="99"/>
      <c r="E2" s="216" t="s">
        <v>558</v>
      </c>
      <c r="F2" s="217"/>
      <c r="G2" s="101"/>
    </row>
    <row r="3" spans="1:5" ht="36.75" customHeight="1" thickBot="1">
      <c r="A3" s="98" t="s">
        <v>303</v>
      </c>
      <c r="B3" s="198" t="s">
        <v>531</v>
      </c>
      <c r="C3" s="102" t="s">
        <v>304</v>
      </c>
      <c r="D3" s="214" t="s">
        <v>557</v>
      </c>
      <c r="E3" s="215"/>
    </row>
    <row r="4" spans="1:4" ht="17.25" customHeight="1">
      <c r="A4" s="103"/>
      <c r="B4" s="104"/>
      <c r="C4" s="104"/>
      <c r="D4" s="105"/>
    </row>
    <row r="5" spans="1:7" ht="38.25" customHeight="1">
      <c r="A5" s="208" t="s">
        <v>344</v>
      </c>
      <c r="B5" s="209"/>
      <c r="C5" s="210" t="s">
        <v>345</v>
      </c>
      <c r="D5" s="211"/>
      <c r="E5" s="220" t="s">
        <v>305</v>
      </c>
      <c r="F5" s="221"/>
      <c r="G5" s="131"/>
    </row>
    <row r="6" spans="1:7" ht="30" customHeight="1">
      <c r="A6" s="116" t="s">
        <v>306</v>
      </c>
      <c r="B6" s="117">
        <f>勞保保額</f>
        <v>27470</v>
      </c>
      <c r="C6" s="118" t="s">
        <v>307</v>
      </c>
      <c r="D6" s="119">
        <f>健保保額</f>
        <v>27470</v>
      </c>
      <c r="E6" s="128" t="s">
        <v>308</v>
      </c>
      <c r="F6" s="136">
        <f>月提繳工資</f>
        <v>27470</v>
      </c>
      <c r="G6" s="132"/>
    </row>
    <row r="7" spans="1:7" ht="59.25" customHeight="1">
      <c r="A7" s="120" t="s">
        <v>342</v>
      </c>
      <c r="B7" s="106">
        <f>勞保自付額</f>
        <v>659</v>
      </c>
      <c r="C7" s="118" t="s">
        <v>309</v>
      </c>
      <c r="D7" s="107">
        <f>健保自付額</f>
        <v>426</v>
      </c>
      <c r="E7" s="128" t="s">
        <v>310</v>
      </c>
      <c r="F7" s="137" t="s">
        <v>311</v>
      </c>
      <c r="G7" s="133"/>
    </row>
    <row r="8" spans="1:7" ht="59.25" customHeight="1">
      <c r="A8" s="121" t="s">
        <v>575</v>
      </c>
      <c r="B8" s="106">
        <f>勞保校付額</f>
        <v>2337</v>
      </c>
      <c r="C8" s="118" t="s">
        <v>312</v>
      </c>
      <c r="D8" s="107">
        <f>健保校付額</f>
        <v>1329</v>
      </c>
      <c r="E8" s="122" t="s">
        <v>343</v>
      </c>
      <c r="F8" s="138">
        <f>勞工退休金提撥金額</f>
        <v>1648</v>
      </c>
      <c r="G8" s="134"/>
    </row>
    <row r="9" spans="1:7" ht="59.25" customHeight="1">
      <c r="A9" s="224" t="s">
        <v>508</v>
      </c>
      <c r="B9" s="225"/>
      <c r="C9" s="226" t="s">
        <v>510</v>
      </c>
      <c r="D9" s="227"/>
      <c r="E9" s="222" t="s">
        <v>509</v>
      </c>
      <c r="F9" s="223"/>
      <c r="G9" s="135"/>
    </row>
    <row r="10" spans="1:7" s="109" customFormat="1" ht="21" customHeight="1">
      <c r="A10" s="123"/>
      <c r="B10" s="123"/>
      <c r="C10" s="123"/>
      <c r="D10" s="123"/>
      <c r="E10" s="139"/>
      <c r="F10" s="140"/>
      <c r="G10" s="129"/>
    </row>
    <row r="11" spans="1:7" ht="30" customHeight="1">
      <c r="A11" s="228" t="s">
        <v>313</v>
      </c>
      <c r="B11" s="229"/>
      <c r="C11" s="229"/>
      <c r="D11" s="229"/>
      <c r="E11" s="229"/>
      <c r="F11" s="229"/>
      <c r="G11" s="130"/>
    </row>
    <row r="12" spans="1:7" ht="30" customHeight="1" hidden="1">
      <c r="A12" s="100" t="s">
        <v>314</v>
      </c>
      <c r="B12" s="110"/>
      <c r="C12" s="110" t="s">
        <v>315</v>
      </c>
      <c r="D12" s="110" t="s">
        <v>316</v>
      </c>
      <c r="E12" s="110" t="s">
        <v>347</v>
      </c>
      <c r="F12" s="100" t="s">
        <v>314</v>
      </c>
      <c r="G12" s="100"/>
    </row>
    <row r="13" spans="1:6" ht="30" customHeight="1" hidden="1">
      <c r="A13" s="100" t="s">
        <v>0</v>
      </c>
      <c r="B13" s="110" t="s">
        <v>317</v>
      </c>
      <c r="C13" s="110">
        <f>VLOOKUP(B6,'勞保保額分級分攤表'!B:D,2,FALSE)</f>
        <v>604</v>
      </c>
      <c r="D13" s="110">
        <f>VLOOKUP(B6,'勞保保額分級分攤表'!B:H,4,FALSE)</f>
        <v>2115</v>
      </c>
      <c r="E13" s="110"/>
      <c r="F13" s="97" t="s">
        <v>318</v>
      </c>
    </row>
    <row r="14" spans="1:6" ht="30" customHeight="1" hidden="1">
      <c r="A14" s="100" t="s">
        <v>1</v>
      </c>
      <c r="B14" s="110" t="s">
        <v>319</v>
      </c>
      <c r="C14" s="110">
        <f>VLOOKUP(B6,'勞保保額分級分攤表'!B:D,3,FALSE)</f>
        <v>55</v>
      </c>
      <c r="D14" s="110">
        <f>VLOOKUP(B6,'勞保保額分級分攤表'!B:H,5,FALSE)</f>
        <v>192</v>
      </c>
      <c r="E14" s="110"/>
      <c r="F14" s="97" t="s">
        <v>320</v>
      </c>
    </row>
    <row r="15" spans="2:6" ht="30" customHeight="1" hidden="1">
      <c r="B15" s="110" t="s">
        <v>321</v>
      </c>
      <c r="D15" s="110">
        <f>E15</f>
        <v>30</v>
      </c>
      <c r="E15" s="110">
        <f>VLOOKUP(D20,'勞保保額分級分攤表'!N:O,2,FALSE)</f>
        <v>30</v>
      </c>
      <c r="F15" s="97" t="s">
        <v>322</v>
      </c>
    </row>
    <row r="16" spans="2:5" ht="30" customHeight="1" hidden="1">
      <c r="B16" s="110" t="s">
        <v>323</v>
      </c>
      <c r="D16" s="110"/>
      <c r="E16" s="110"/>
    </row>
    <row r="17" spans="1:5" ht="30" customHeight="1" hidden="1">
      <c r="A17" s="100" t="s">
        <v>324</v>
      </c>
      <c r="B17" s="110" t="s">
        <v>325</v>
      </c>
      <c r="C17" s="100">
        <f>SUM($C$13:$C$14)</f>
        <v>659</v>
      </c>
      <c r="D17" s="100">
        <f>SUM($D$13:$D$16)</f>
        <v>2337</v>
      </c>
      <c r="E17" s="100"/>
    </row>
    <row r="18" spans="1:5" ht="30" customHeight="1" hidden="1">
      <c r="A18" s="100" t="str">
        <f>IF(是否超過65歲="YES","非一般教職員",IF(身份別="未與本國人結婚之外籍人士","非一般教職員","一般教職員"))</f>
        <v>一般教職員</v>
      </c>
      <c r="B18" s="110" t="s">
        <v>326</v>
      </c>
      <c r="C18" s="100">
        <f>SUM($C$13:$C$14)-$C$14</f>
        <v>604</v>
      </c>
      <c r="D18" s="100">
        <f>SUM($D$13:$D$16)-$D$14</f>
        <v>2145</v>
      </c>
      <c r="E18" s="100"/>
    </row>
    <row r="19" ht="30" customHeight="1" hidden="1">
      <c r="B19" s="110"/>
    </row>
    <row r="20" spans="1:6" ht="30" customHeight="1" hidden="1">
      <c r="A20" s="111" t="s">
        <v>327</v>
      </c>
      <c r="B20" s="112">
        <f>LOOKUP($B$2,'勞保保額分級分攤表'!$A:$A,'勞保保額分級分攤表'!$B:$B)</f>
        <v>27470</v>
      </c>
      <c r="C20" s="111" t="s">
        <v>346</v>
      </c>
      <c r="D20" s="112">
        <f>LOOKUP($B$2,'勞保保額分級分攤表'!$M:$M,'勞保保額分級分攤表'!$N:$N)</f>
        <v>27470</v>
      </c>
      <c r="E20" s="111" t="s">
        <v>328</v>
      </c>
      <c r="F20" s="112">
        <f>LOOKUP($B$2,'健保保額分級分攤表'!$A:$A,'健保保額分級分攤表'!$C:$C)</f>
        <v>27470</v>
      </c>
    </row>
    <row r="21" spans="1:6" ht="30" customHeight="1" hidden="1">
      <c r="A21" s="113" t="s">
        <v>329</v>
      </c>
      <c r="B21" s="113" t="s">
        <v>330</v>
      </c>
      <c r="C21" s="113"/>
      <c r="D21" s="113"/>
      <c r="E21" s="113" t="s">
        <v>331</v>
      </c>
      <c r="F21" s="113" t="s">
        <v>332</v>
      </c>
    </row>
    <row r="22" spans="1:6" ht="30" customHeight="1" hidden="1">
      <c r="A22" s="113">
        <f>VLOOKUP($A$18,$B$17:$D$18,2,FALSE)</f>
        <v>659</v>
      </c>
      <c r="B22" s="113">
        <f>VLOOKUP($A$18,$B$17:$D$18,3,FALSE)</f>
        <v>2337</v>
      </c>
      <c r="C22" s="113"/>
      <c r="D22" s="113"/>
      <c r="E22" s="113">
        <f>VLOOKUP(健保保額,'健保保額分級分攤表'!C6:D57,2,FALSE)</f>
        <v>426</v>
      </c>
      <c r="F22" s="113">
        <f>VLOOKUP(健保保額,'健保保額分級分攤表'!C6:H57,6,FALSE)</f>
        <v>1329</v>
      </c>
    </row>
    <row r="23" ht="30" customHeight="1" hidden="1"/>
    <row r="24" spans="1:3" ht="30" customHeight="1" hidden="1">
      <c r="A24" s="218" t="s">
        <v>333</v>
      </c>
      <c r="B24" s="218"/>
      <c r="C24" s="219"/>
    </row>
    <row r="25" spans="1:4" ht="30" customHeight="1" hidden="1">
      <c r="A25" s="110" t="s">
        <v>334</v>
      </c>
      <c r="B25" s="110" t="s">
        <v>308</v>
      </c>
      <c r="C25" s="110" t="s">
        <v>335</v>
      </c>
      <c r="D25" s="111" t="s">
        <v>336</v>
      </c>
    </row>
    <row r="26" spans="1:6" ht="30" customHeight="1" hidden="1">
      <c r="A26" s="110">
        <v>0</v>
      </c>
      <c r="B26" s="110">
        <v>0</v>
      </c>
      <c r="C26" s="110">
        <v>0</v>
      </c>
      <c r="D26" s="114">
        <f>IF(身份別="未與本國人結婚之外籍人士",0,VLOOKUP(B2,A26:C88,2))</f>
        <v>27470</v>
      </c>
      <c r="F26" s="97" t="s">
        <v>337</v>
      </c>
    </row>
    <row r="27" spans="1:6" ht="30" customHeight="1" hidden="1">
      <c r="A27" s="100">
        <v>1</v>
      </c>
      <c r="B27" s="115">
        <v>1500</v>
      </c>
      <c r="C27" s="100">
        <f>ROUND(B27*6%,0)</f>
        <v>90</v>
      </c>
      <c r="D27" s="100" t="s">
        <v>338</v>
      </c>
      <c r="F27" s="97" t="s">
        <v>339</v>
      </c>
    </row>
    <row r="28" spans="1:6" ht="30" customHeight="1" hidden="1">
      <c r="A28" s="115">
        <f>B27+1</f>
        <v>1501</v>
      </c>
      <c r="B28" s="115">
        <v>3000</v>
      </c>
      <c r="C28" s="100">
        <f aca="true" t="shared" si="0" ref="C28:C88">ROUND(B28*6%,0)</f>
        <v>180</v>
      </c>
      <c r="D28" s="100">
        <f>IF(身份別="未與本國人結婚之外籍人士",0,VLOOKUP(B2,A26:C88,3))</f>
        <v>1648</v>
      </c>
      <c r="F28" s="97" t="s">
        <v>340</v>
      </c>
    </row>
    <row r="29" spans="1:6" ht="30" customHeight="1" hidden="1">
      <c r="A29" s="115">
        <f aca="true" t="shared" si="1" ref="A29:A88">B28+1</f>
        <v>3001</v>
      </c>
      <c r="B29" s="115">
        <v>4500</v>
      </c>
      <c r="C29" s="100">
        <f t="shared" si="0"/>
        <v>270</v>
      </c>
      <c r="F29" s="97" t="s">
        <v>341</v>
      </c>
    </row>
    <row r="30" spans="1:3" ht="30" customHeight="1" hidden="1">
      <c r="A30" s="115">
        <f t="shared" si="1"/>
        <v>4501</v>
      </c>
      <c r="B30" s="115">
        <v>6000</v>
      </c>
      <c r="C30" s="100">
        <f t="shared" si="0"/>
        <v>360</v>
      </c>
    </row>
    <row r="31" spans="1:3" ht="30" customHeight="1" hidden="1">
      <c r="A31" s="115">
        <f t="shared" si="1"/>
        <v>6001</v>
      </c>
      <c r="B31" s="115">
        <v>7500</v>
      </c>
      <c r="C31" s="100">
        <f t="shared" si="0"/>
        <v>450</v>
      </c>
    </row>
    <row r="32" spans="1:3" ht="30" customHeight="1" hidden="1">
      <c r="A32" s="115">
        <f t="shared" si="1"/>
        <v>7501</v>
      </c>
      <c r="B32" s="115">
        <v>8700</v>
      </c>
      <c r="C32" s="100">
        <f t="shared" si="0"/>
        <v>522</v>
      </c>
    </row>
    <row r="33" spans="1:3" ht="30" customHeight="1" hidden="1">
      <c r="A33" s="115">
        <f t="shared" si="1"/>
        <v>8701</v>
      </c>
      <c r="B33" s="115">
        <v>9900</v>
      </c>
      <c r="C33" s="100">
        <f t="shared" si="0"/>
        <v>594</v>
      </c>
    </row>
    <row r="34" spans="1:3" ht="30" customHeight="1" hidden="1">
      <c r="A34" s="115">
        <f t="shared" si="1"/>
        <v>9901</v>
      </c>
      <c r="B34" s="115">
        <v>11100</v>
      </c>
      <c r="C34" s="100">
        <f t="shared" si="0"/>
        <v>666</v>
      </c>
    </row>
    <row r="35" spans="1:3" ht="30" customHeight="1" hidden="1">
      <c r="A35" s="115">
        <f t="shared" si="1"/>
        <v>11101</v>
      </c>
      <c r="B35" s="115">
        <v>12540</v>
      </c>
      <c r="C35" s="100">
        <f t="shared" si="0"/>
        <v>752</v>
      </c>
    </row>
    <row r="36" spans="1:3" ht="30" customHeight="1" hidden="1">
      <c r="A36" s="115">
        <f t="shared" si="1"/>
        <v>12541</v>
      </c>
      <c r="B36" s="115">
        <v>13500</v>
      </c>
      <c r="C36" s="100">
        <f t="shared" si="0"/>
        <v>810</v>
      </c>
    </row>
    <row r="37" spans="1:3" ht="30" customHeight="1" hidden="1">
      <c r="A37" s="115">
        <f t="shared" si="1"/>
        <v>13501</v>
      </c>
      <c r="B37" s="115">
        <v>15840</v>
      </c>
      <c r="C37" s="100">
        <f t="shared" si="0"/>
        <v>950</v>
      </c>
    </row>
    <row r="38" spans="1:3" ht="30" customHeight="1" hidden="1">
      <c r="A38" s="115">
        <f t="shared" si="1"/>
        <v>15841</v>
      </c>
      <c r="B38" s="115">
        <v>16500</v>
      </c>
      <c r="C38" s="100">
        <f t="shared" si="0"/>
        <v>990</v>
      </c>
    </row>
    <row r="39" spans="1:3" ht="30" customHeight="1" hidden="1">
      <c r="A39" s="115">
        <f t="shared" si="1"/>
        <v>16501</v>
      </c>
      <c r="B39" s="115">
        <v>17280</v>
      </c>
      <c r="C39" s="100">
        <f t="shared" si="0"/>
        <v>1037</v>
      </c>
    </row>
    <row r="40" spans="1:3" ht="30" customHeight="1" hidden="1">
      <c r="A40" s="115">
        <f t="shared" si="1"/>
        <v>17281</v>
      </c>
      <c r="B40" s="115">
        <v>17880</v>
      </c>
      <c r="C40" s="100">
        <f t="shared" si="0"/>
        <v>1073</v>
      </c>
    </row>
    <row r="41" spans="1:3" ht="30" customHeight="1" hidden="1">
      <c r="A41" s="115">
        <f t="shared" si="1"/>
        <v>17881</v>
      </c>
      <c r="B41" s="115">
        <v>19047</v>
      </c>
      <c r="C41" s="100">
        <f t="shared" si="0"/>
        <v>1143</v>
      </c>
    </row>
    <row r="42" spans="1:3" ht="30" customHeight="1" hidden="1">
      <c r="A42" s="115">
        <f t="shared" si="1"/>
        <v>19048</v>
      </c>
      <c r="B42" s="115">
        <v>20008</v>
      </c>
      <c r="C42" s="100">
        <f t="shared" si="0"/>
        <v>1200</v>
      </c>
    </row>
    <row r="43" spans="1:3" ht="30" customHeight="1" hidden="1">
      <c r="A43" s="115">
        <f t="shared" si="1"/>
        <v>20009</v>
      </c>
      <c r="B43" s="115">
        <v>21009</v>
      </c>
      <c r="C43" s="100">
        <f t="shared" si="0"/>
        <v>1261</v>
      </c>
    </row>
    <row r="44" spans="1:3" ht="30" customHeight="1" hidden="1">
      <c r="A44" s="115">
        <f t="shared" si="1"/>
        <v>21010</v>
      </c>
      <c r="B44" s="115">
        <v>22000</v>
      </c>
      <c r="C44" s="100">
        <f t="shared" si="0"/>
        <v>1320</v>
      </c>
    </row>
    <row r="45" spans="1:3" ht="30" customHeight="1" hidden="1">
      <c r="A45" s="115">
        <f t="shared" si="1"/>
        <v>22001</v>
      </c>
      <c r="B45" s="115">
        <v>23100</v>
      </c>
      <c r="C45" s="100">
        <f t="shared" si="0"/>
        <v>1386</v>
      </c>
    </row>
    <row r="46" spans="1:3" ht="30" customHeight="1" hidden="1">
      <c r="A46" s="115">
        <f t="shared" si="1"/>
        <v>23101</v>
      </c>
      <c r="B46" s="115">
        <v>24000</v>
      </c>
      <c r="C46" s="100">
        <f t="shared" si="0"/>
        <v>1440</v>
      </c>
    </row>
    <row r="47" spans="1:3" ht="30" customHeight="1" hidden="1">
      <c r="A47" s="115">
        <f t="shared" si="1"/>
        <v>24001</v>
      </c>
      <c r="B47" s="115">
        <v>25250</v>
      </c>
      <c r="C47" s="100">
        <f t="shared" si="0"/>
        <v>1515</v>
      </c>
    </row>
    <row r="48" spans="1:3" ht="30" customHeight="1" hidden="1">
      <c r="A48" s="115">
        <f t="shared" si="1"/>
        <v>25251</v>
      </c>
      <c r="B48" s="115">
        <v>26400</v>
      </c>
      <c r="C48" s="100">
        <f t="shared" si="0"/>
        <v>1584</v>
      </c>
    </row>
    <row r="49" spans="1:3" ht="30" customHeight="1" hidden="1">
      <c r="A49" s="115">
        <f t="shared" si="1"/>
        <v>26401</v>
      </c>
      <c r="B49" s="115">
        <v>27470</v>
      </c>
      <c r="C49" s="100">
        <f t="shared" si="0"/>
        <v>1648</v>
      </c>
    </row>
    <row r="50" spans="1:3" ht="30" customHeight="1" hidden="1">
      <c r="A50" s="115">
        <f t="shared" si="1"/>
        <v>27471</v>
      </c>
      <c r="B50" s="115">
        <v>27600</v>
      </c>
      <c r="C50" s="100">
        <f t="shared" si="0"/>
        <v>1656</v>
      </c>
    </row>
    <row r="51" spans="1:3" ht="30" customHeight="1" hidden="1">
      <c r="A51" s="115">
        <f t="shared" si="1"/>
        <v>27601</v>
      </c>
      <c r="B51" s="115">
        <v>28800</v>
      </c>
      <c r="C51" s="100">
        <f t="shared" si="0"/>
        <v>1728</v>
      </c>
    </row>
    <row r="52" spans="1:3" ht="30" customHeight="1" hidden="1">
      <c r="A52" s="115">
        <f t="shared" si="1"/>
        <v>28801</v>
      </c>
      <c r="B52" s="115">
        <v>30300</v>
      </c>
      <c r="C52" s="100">
        <f t="shared" si="0"/>
        <v>1818</v>
      </c>
    </row>
    <row r="53" spans="1:3" ht="30" customHeight="1" hidden="1">
      <c r="A53" s="115">
        <f t="shared" si="1"/>
        <v>30301</v>
      </c>
      <c r="B53" s="115">
        <v>31800</v>
      </c>
      <c r="C53" s="100">
        <f t="shared" si="0"/>
        <v>1908</v>
      </c>
    </row>
    <row r="54" spans="1:3" ht="30" customHeight="1" hidden="1">
      <c r="A54" s="115">
        <f t="shared" si="1"/>
        <v>31801</v>
      </c>
      <c r="B54" s="115">
        <v>33300</v>
      </c>
      <c r="C54" s="100">
        <f t="shared" si="0"/>
        <v>1998</v>
      </c>
    </row>
    <row r="55" spans="1:3" ht="30" customHeight="1" hidden="1">
      <c r="A55" s="115">
        <f t="shared" si="1"/>
        <v>33301</v>
      </c>
      <c r="B55" s="115">
        <v>34800</v>
      </c>
      <c r="C55" s="100">
        <f t="shared" si="0"/>
        <v>2088</v>
      </c>
    </row>
    <row r="56" spans="1:3" ht="30" customHeight="1" hidden="1">
      <c r="A56" s="115">
        <f t="shared" si="1"/>
        <v>34801</v>
      </c>
      <c r="B56" s="115">
        <v>36300</v>
      </c>
      <c r="C56" s="100">
        <f t="shared" si="0"/>
        <v>2178</v>
      </c>
    </row>
    <row r="57" spans="1:3" ht="30" customHeight="1" hidden="1">
      <c r="A57" s="115">
        <f t="shared" si="1"/>
        <v>36301</v>
      </c>
      <c r="B57" s="115">
        <v>38200</v>
      </c>
      <c r="C57" s="100">
        <f t="shared" si="0"/>
        <v>2292</v>
      </c>
    </row>
    <row r="58" spans="1:3" ht="30" customHeight="1" hidden="1">
      <c r="A58" s="115">
        <f t="shared" si="1"/>
        <v>38201</v>
      </c>
      <c r="B58" s="115">
        <v>40100</v>
      </c>
      <c r="C58" s="100">
        <f t="shared" si="0"/>
        <v>2406</v>
      </c>
    </row>
    <row r="59" spans="1:3" ht="30" customHeight="1" hidden="1">
      <c r="A59" s="115">
        <f t="shared" si="1"/>
        <v>40101</v>
      </c>
      <c r="B59" s="115">
        <v>42000</v>
      </c>
      <c r="C59" s="100">
        <f t="shared" si="0"/>
        <v>2520</v>
      </c>
    </row>
    <row r="60" spans="1:3" ht="30" customHeight="1" hidden="1">
      <c r="A60" s="115">
        <f t="shared" si="1"/>
        <v>42001</v>
      </c>
      <c r="B60" s="115">
        <v>43900</v>
      </c>
      <c r="C60" s="100">
        <f t="shared" si="0"/>
        <v>2634</v>
      </c>
    </row>
    <row r="61" spans="1:3" ht="30" customHeight="1" hidden="1">
      <c r="A61" s="115">
        <f t="shared" si="1"/>
        <v>43901</v>
      </c>
      <c r="B61" s="115">
        <v>45800</v>
      </c>
      <c r="C61" s="100">
        <f t="shared" si="0"/>
        <v>2748</v>
      </c>
    </row>
    <row r="62" spans="1:3" ht="30" customHeight="1" hidden="1">
      <c r="A62" s="115">
        <f t="shared" si="1"/>
        <v>45801</v>
      </c>
      <c r="B62" s="115">
        <v>48200</v>
      </c>
      <c r="C62" s="100">
        <f t="shared" si="0"/>
        <v>2892</v>
      </c>
    </row>
    <row r="63" spans="1:3" ht="30" customHeight="1" hidden="1">
      <c r="A63" s="115">
        <f t="shared" si="1"/>
        <v>48201</v>
      </c>
      <c r="B63" s="115">
        <v>50600</v>
      </c>
      <c r="C63" s="100">
        <f t="shared" si="0"/>
        <v>3036</v>
      </c>
    </row>
    <row r="64" spans="1:3" ht="30" customHeight="1" hidden="1">
      <c r="A64" s="115">
        <f t="shared" si="1"/>
        <v>50601</v>
      </c>
      <c r="B64" s="115">
        <v>53000</v>
      </c>
      <c r="C64" s="100">
        <f t="shared" si="0"/>
        <v>3180</v>
      </c>
    </row>
    <row r="65" spans="1:3" ht="30" customHeight="1" hidden="1">
      <c r="A65" s="115">
        <f t="shared" si="1"/>
        <v>53001</v>
      </c>
      <c r="B65" s="115">
        <v>55400</v>
      </c>
      <c r="C65" s="100">
        <f t="shared" si="0"/>
        <v>3324</v>
      </c>
    </row>
    <row r="66" spans="1:3" ht="30" customHeight="1" hidden="1">
      <c r="A66" s="115">
        <f t="shared" si="1"/>
        <v>55401</v>
      </c>
      <c r="B66" s="115">
        <v>57800</v>
      </c>
      <c r="C66" s="100">
        <f t="shared" si="0"/>
        <v>3468</v>
      </c>
    </row>
    <row r="67" spans="1:3" ht="30" customHeight="1" hidden="1">
      <c r="A67" s="115">
        <f t="shared" si="1"/>
        <v>57801</v>
      </c>
      <c r="B67" s="115">
        <v>60800</v>
      </c>
      <c r="C67" s="100">
        <f t="shared" si="0"/>
        <v>3648</v>
      </c>
    </row>
    <row r="68" spans="1:3" ht="30" customHeight="1" hidden="1">
      <c r="A68" s="115">
        <f t="shared" si="1"/>
        <v>60801</v>
      </c>
      <c r="B68" s="115">
        <v>63800</v>
      </c>
      <c r="C68" s="100">
        <f t="shared" si="0"/>
        <v>3828</v>
      </c>
    </row>
    <row r="69" spans="1:3" ht="30" customHeight="1" hidden="1">
      <c r="A69" s="115">
        <f t="shared" si="1"/>
        <v>63801</v>
      </c>
      <c r="B69" s="115">
        <v>66800</v>
      </c>
      <c r="C69" s="100">
        <f t="shared" si="0"/>
        <v>4008</v>
      </c>
    </row>
    <row r="70" spans="1:3" ht="30" customHeight="1" hidden="1">
      <c r="A70" s="115">
        <f t="shared" si="1"/>
        <v>66801</v>
      </c>
      <c r="B70" s="115">
        <v>69800</v>
      </c>
      <c r="C70" s="100">
        <f t="shared" si="0"/>
        <v>4188</v>
      </c>
    </row>
    <row r="71" spans="1:3" ht="30" customHeight="1" hidden="1">
      <c r="A71" s="115">
        <f t="shared" si="1"/>
        <v>69801</v>
      </c>
      <c r="B71" s="115">
        <v>72800</v>
      </c>
      <c r="C71" s="100">
        <f t="shared" si="0"/>
        <v>4368</v>
      </c>
    </row>
    <row r="72" spans="1:3" ht="30" customHeight="1" hidden="1">
      <c r="A72" s="115">
        <f t="shared" si="1"/>
        <v>72801</v>
      </c>
      <c r="B72" s="115">
        <v>76500</v>
      </c>
      <c r="C72" s="100">
        <f t="shared" si="0"/>
        <v>4590</v>
      </c>
    </row>
    <row r="73" spans="1:3" ht="30" customHeight="1" hidden="1">
      <c r="A73" s="115">
        <f t="shared" si="1"/>
        <v>76501</v>
      </c>
      <c r="B73" s="115">
        <v>80200</v>
      </c>
      <c r="C73" s="100">
        <f t="shared" si="0"/>
        <v>4812</v>
      </c>
    </row>
    <row r="74" spans="1:3" ht="30" customHeight="1" hidden="1">
      <c r="A74" s="115">
        <f t="shared" si="1"/>
        <v>80201</v>
      </c>
      <c r="B74" s="115">
        <v>83900</v>
      </c>
      <c r="C74" s="100">
        <f t="shared" si="0"/>
        <v>5034</v>
      </c>
    </row>
    <row r="75" spans="1:3" ht="30" customHeight="1" hidden="1">
      <c r="A75" s="115">
        <f t="shared" si="1"/>
        <v>83901</v>
      </c>
      <c r="B75" s="115">
        <v>87600</v>
      </c>
      <c r="C75" s="100">
        <f t="shared" si="0"/>
        <v>5256</v>
      </c>
    </row>
    <row r="76" spans="1:3" ht="30" customHeight="1" hidden="1">
      <c r="A76" s="115">
        <f t="shared" si="1"/>
        <v>87601</v>
      </c>
      <c r="B76" s="115">
        <v>92100</v>
      </c>
      <c r="C76" s="100">
        <f t="shared" si="0"/>
        <v>5526</v>
      </c>
    </row>
    <row r="77" spans="1:3" ht="30" customHeight="1" hidden="1">
      <c r="A77" s="115">
        <f t="shared" si="1"/>
        <v>92101</v>
      </c>
      <c r="B77" s="115">
        <v>96600</v>
      </c>
      <c r="C77" s="100">
        <f t="shared" si="0"/>
        <v>5796</v>
      </c>
    </row>
    <row r="78" spans="1:3" ht="30" customHeight="1" hidden="1">
      <c r="A78" s="115">
        <f t="shared" si="1"/>
        <v>96601</v>
      </c>
      <c r="B78" s="115">
        <v>101100</v>
      </c>
      <c r="C78" s="100">
        <f t="shared" si="0"/>
        <v>6066</v>
      </c>
    </row>
    <row r="79" spans="1:3" ht="30" customHeight="1" hidden="1">
      <c r="A79" s="115">
        <f t="shared" si="1"/>
        <v>101101</v>
      </c>
      <c r="B79" s="115">
        <v>105600</v>
      </c>
      <c r="C79" s="100">
        <f t="shared" si="0"/>
        <v>6336</v>
      </c>
    </row>
    <row r="80" spans="1:3" ht="30" customHeight="1" hidden="1">
      <c r="A80" s="115">
        <f t="shared" si="1"/>
        <v>105601</v>
      </c>
      <c r="B80" s="115">
        <v>110100</v>
      </c>
      <c r="C80" s="100">
        <f t="shared" si="0"/>
        <v>6606</v>
      </c>
    </row>
    <row r="81" spans="1:3" ht="30" customHeight="1" hidden="1">
      <c r="A81" s="115">
        <f t="shared" si="1"/>
        <v>110101</v>
      </c>
      <c r="B81" s="115">
        <v>115500</v>
      </c>
      <c r="C81" s="100">
        <f t="shared" si="0"/>
        <v>6930</v>
      </c>
    </row>
    <row r="82" spans="1:3" ht="30" customHeight="1" hidden="1">
      <c r="A82" s="115">
        <f t="shared" si="1"/>
        <v>115501</v>
      </c>
      <c r="B82" s="115">
        <v>120900</v>
      </c>
      <c r="C82" s="100">
        <f t="shared" si="0"/>
        <v>7254</v>
      </c>
    </row>
    <row r="83" spans="1:3" ht="30" customHeight="1" hidden="1">
      <c r="A83" s="115">
        <f t="shared" si="1"/>
        <v>120901</v>
      </c>
      <c r="B83" s="115">
        <v>126300</v>
      </c>
      <c r="C83" s="100">
        <f t="shared" si="0"/>
        <v>7578</v>
      </c>
    </row>
    <row r="84" spans="1:3" ht="30" customHeight="1" hidden="1">
      <c r="A84" s="115">
        <f t="shared" si="1"/>
        <v>126301</v>
      </c>
      <c r="B84" s="115">
        <v>131700</v>
      </c>
      <c r="C84" s="100">
        <f t="shared" si="0"/>
        <v>7902</v>
      </c>
    </row>
    <row r="85" spans="1:3" ht="30" customHeight="1" hidden="1">
      <c r="A85" s="115">
        <f t="shared" si="1"/>
        <v>131701</v>
      </c>
      <c r="B85" s="115">
        <v>137100</v>
      </c>
      <c r="C85" s="100">
        <f t="shared" si="0"/>
        <v>8226</v>
      </c>
    </row>
    <row r="86" spans="1:3" ht="30" customHeight="1" hidden="1">
      <c r="A86" s="115">
        <f t="shared" si="1"/>
        <v>137101</v>
      </c>
      <c r="B86" s="115">
        <v>142500</v>
      </c>
      <c r="C86" s="100">
        <f t="shared" si="0"/>
        <v>8550</v>
      </c>
    </row>
    <row r="87" spans="1:3" ht="30" customHeight="1" hidden="1">
      <c r="A87" s="115">
        <f t="shared" si="1"/>
        <v>142501</v>
      </c>
      <c r="B87" s="115">
        <v>147900</v>
      </c>
      <c r="C87" s="100">
        <f t="shared" si="0"/>
        <v>8874</v>
      </c>
    </row>
    <row r="88" spans="1:3" ht="30" customHeight="1" hidden="1">
      <c r="A88" s="115">
        <f t="shared" si="1"/>
        <v>147901</v>
      </c>
      <c r="B88" s="100">
        <v>150000</v>
      </c>
      <c r="C88" s="100">
        <f t="shared" si="0"/>
        <v>9000</v>
      </c>
    </row>
    <row r="89" ht="30" customHeight="1" hidden="1"/>
  </sheetData>
  <sheetProtection password="CCF7" sheet="1"/>
  <mergeCells count="11">
    <mergeCell ref="A11:F11"/>
    <mergeCell ref="A5:B5"/>
    <mergeCell ref="C5:D5"/>
    <mergeCell ref="A1:F1"/>
    <mergeCell ref="D3:E3"/>
    <mergeCell ref="E2:F2"/>
    <mergeCell ref="A24:C24"/>
    <mergeCell ref="E5:F5"/>
    <mergeCell ref="E9:F9"/>
    <mergeCell ref="A9:B9"/>
    <mergeCell ref="C9:D9"/>
  </mergeCells>
  <dataValidations count="3">
    <dataValidation type="list" showInputMessage="1" showErrorMessage="1" error="請下拉選單！" sqref="B3">
      <formula1>$A$13:$A$14</formula1>
    </dataValidation>
    <dataValidation type="whole" operator="greaterThanOrEqual" allowBlank="1" showInputMessage="1" showErrorMessage="1" prompt="請輸入每月薪資" error="請輸入整數!" sqref="B2">
      <formula1>0</formula1>
    </dataValidation>
    <dataValidation type="list" showInputMessage="1" showErrorMessage="1" error="請下拉選單！" sqref="D3:E3">
      <formula1>$F$13:$F$15</formula1>
    </dataValidation>
  </dataValidations>
  <hyperlinks>
    <hyperlink ref="A9:B9" location="勞保保額分級分攤表!A1" display="勞保保額分級分攤表"/>
    <hyperlink ref="C9:D9" location="健保保額分級分攤表!A1" display="健保保額分級分攤表"/>
    <hyperlink ref="E9:F9" location="勞工退休金月提繳工分級表!A1" display="勞工退休金月提繳工資分級表"/>
  </hyperlinks>
  <printOptions/>
  <pageMargins left="0.7480314960629921" right="0.7480314960629921" top="0.2755905511811024" bottom="0.1968503937007874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zoomScalePageLayoutView="0" workbookViewId="0" topLeftCell="A1">
      <pane xSplit="2" ySplit="3" topLeftCell="C4" activePane="bottomRight" state="frozen"/>
      <selection pane="topLeft" activeCell="B1" sqref="B1"/>
      <selection pane="topRight" activeCell="C1" sqref="C1"/>
      <selection pane="bottomLeft" activeCell="B3" sqref="B3"/>
      <selection pane="bottomRight" activeCell="B2" sqref="B2:B3"/>
    </sheetView>
  </sheetViews>
  <sheetFormatPr defaultColWidth="9.00390625" defaultRowHeight="16.5"/>
  <cols>
    <col min="1" max="1" width="15.25390625" style="83" hidden="1" customWidth="1"/>
    <col min="2" max="2" width="13.875" style="84" customWidth="1"/>
    <col min="3" max="8" width="10.625" style="83" customWidth="1"/>
    <col min="9" max="9" width="10.00390625" style="83" hidden="1" customWidth="1"/>
    <col min="10" max="12" width="0" style="83" hidden="1" customWidth="1"/>
    <col min="13" max="13" width="15.25390625" style="83" hidden="1" customWidth="1"/>
    <col min="14" max="14" width="13.875" style="84" hidden="1" customWidth="1"/>
    <col min="15" max="15" width="10.625" style="83" hidden="1" customWidth="1"/>
    <col min="16" max="16" width="0" style="83" hidden="1" customWidth="1"/>
    <col min="17" max="16384" width="9.00390625" style="83" customWidth="1"/>
  </cols>
  <sheetData>
    <row r="1" ht="16.5" customHeight="1" thickBot="1">
      <c r="B1" s="205" t="s">
        <v>566</v>
      </c>
    </row>
    <row r="2" spans="2:15" s="50" customFormat="1" ht="24" customHeight="1">
      <c r="B2" s="235" t="s">
        <v>291</v>
      </c>
      <c r="C2" s="230" t="s">
        <v>292</v>
      </c>
      <c r="D2" s="231"/>
      <c r="E2" s="232" t="s">
        <v>293</v>
      </c>
      <c r="F2" s="233"/>
      <c r="G2" s="233"/>
      <c r="H2" s="234"/>
      <c r="I2" s="202"/>
      <c r="M2" s="238"/>
      <c r="N2" s="237" t="s">
        <v>348</v>
      </c>
      <c r="O2" s="51" t="s">
        <v>293</v>
      </c>
    </row>
    <row r="3" spans="2:15" s="50" customFormat="1" ht="25.5" customHeight="1">
      <c r="B3" s="236"/>
      <c r="C3" s="52" t="s">
        <v>294</v>
      </c>
      <c r="D3" s="53" t="s">
        <v>295</v>
      </c>
      <c r="E3" s="52" t="s">
        <v>294</v>
      </c>
      <c r="F3" s="54" t="s">
        <v>295</v>
      </c>
      <c r="G3" s="55" t="s">
        <v>296</v>
      </c>
      <c r="H3" s="56" t="s">
        <v>300</v>
      </c>
      <c r="I3" s="50" t="s">
        <v>514</v>
      </c>
      <c r="J3" s="50" t="s">
        <v>515</v>
      </c>
      <c r="K3" s="191" t="s">
        <v>550</v>
      </c>
      <c r="M3" s="239"/>
      <c r="N3" s="236"/>
      <c r="O3" s="55" t="s">
        <v>301</v>
      </c>
    </row>
    <row r="4" spans="1:15" s="50" customFormat="1" ht="19.5" customHeight="1">
      <c r="A4" s="50">
        <v>0</v>
      </c>
      <c r="B4" s="57">
        <v>0</v>
      </c>
      <c r="C4" s="58"/>
      <c r="D4" s="59"/>
      <c r="E4" s="60"/>
      <c r="F4" s="61"/>
      <c r="G4" s="62"/>
      <c r="H4" s="63"/>
      <c r="I4" s="50">
        <f>SUM(C4:D4)</f>
        <v>0</v>
      </c>
      <c r="J4" s="50">
        <f aca="true" t="shared" si="0" ref="J4:J43">SUM(E4:G4)</f>
        <v>0</v>
      </c>
      <c r="K4" s="50">
        <f aca="true" t="shared" si="1" ref="K4:K43">SUM(E4:F4)</f>
        <v>0</v>
      </c>
      <c r="M4" s="50">
        <v>0</v>
      </c>
      <c r="N4" s="57">
        <v>0</v>
      </c>
      <c r="O4" s="62"/>
    </row>
    <row r="5" spans="1:15" s="50" customFormat="1" ht="19.5" customHeight="1">
      <c r="A5" s="50">
        <v>1</v>
      </c>
      <c r="B5" s="64">
        <v>11100</v>
      </c>
      <c r="C5" s="65">
        <v>244</v>
      </c>
      <c r="D5" s="66">
        <v>22</v>
      </c>
      <c r="E5" s="65">
        <v>855</v>
      </c>
      <c r="F5" s="67">
        <v>78</v>
      </c>
      <c r="G5" s="68">
        <v>30</v>
      </c>
      <c r="H5" s="69">
        <v>3</v>
      </c>
      <c r="I5" s="50">
        <f aca="true" t="shared" si="2" ref="I5:I43">SUM(C5:D5)</f>
        <v>266</v>
      </c>
      <c r="J5" s="50">
        <f t="shared" si="0"/>
        <v>963</v>
      </c>
      <c r="K5" s="50">
        <f t="shared" si="1"/>
        <v>933</v>
      </c>
      <c r="M5" s="50">
        <v>1</v>
      </c>
      <c r="N5" s="64">
        <v>27470</v>
      </c>
      <c r="O5" s="68">
        <f>ROUND(N5*0.11%,0)</f>
        <v>30</v>
      </c>
    </row>
    <row r="6" spans="1:15" s="50" customFormat="1" ht="19.5" customHeight="1">
      <c r="A6" s="70">
        <f>B5+1</f>
        <v>11101</v>
      </c>
      <c r="B6" s="64">
        <v>12540</v>
      </c>
      <c r="C6" s="65">
        <v>276</v>
      </c>
      <c r="D6" s="66">
        <v>25</v>
      </c>
      <c r="E6" s="65">
        <v>966</v>
      </c>
      <c r="F6" s="67">
        <v>88</v>
      </c>
      <c r="G6" s="68">
        <v>30</v>
      </c>
      <c r="H6" s="69">
        <v>3</v>
      </c>
      <c r="I6" s="50">
        <f t="shared" si="2"/>
        <v>301</v>
      </c>
      <c r="J6" s="50">
        <f t="shared" si="0"/>
        <v>1084</v>
      </c>
      <c r="K6" s="50">
        <f t="shared" si="1"/>
        <v>1054</v>
      </c>
      <c r="M6" s="70">
        <f>N5+1</f>
        <v>27471</v>
      </c>
      <c r="N6" s="64">
        <v>27600</v>
      </c>
      <c r="O6" s="68">
        <f aca="true" t="shared" si="3" ref="O6:O29">ROUND(N6*0.11%,0)</f>
        <v>30</v>
      </c>
    </row>
    <row r="7" spans="1:15" s="50" customFormat="1" ht="19.5" customHeight="1">
      <c r="A7" s="70">
        <f>B6+1</f>
        <v>12541</v>
      </c>
      <c r="B7" s="64">
        <v>13500</v>
      </c>
      <c r="C7" s="65">
        <v>297</v>
      </c>
      <c r="D7" s="66">
        <v>27</v>
      </c>
      <c r="E7" s="65">
        <v>1040</v>
      </c>
      <c r="F7" s="67">
        <v>95</v>
      </c>
      <c r="G7" s="68">
        <v>30</v>
      </c>
      <c r="H7" s="69">
        <v>3</v>
      </c>
      <c r="I7" s="50">
        <f t="shared" si="2"/>
        <v>324</v>
      </c>
      <c r="J7" s="50">
        <f t="shared" si="0"/>
        <v>1165</v>
      </c>
      <c r="K7" s="50">
        <f t="shared" si="1"/>
        <v>1135</v>
      </c>
      <c r="M7" s="70">
        <f>N6+1</f>
        <v>27601</v>
      </c>
      <c r="N7" s="64">
        <v>28800</v>
      </c>
      <c r="O7" s="68">
        <f t="shared" si="3"/>
        <v>32</v>
      </c>
    </row>
    <row r="8" spans="1:15" s="50" customFormat="1" ht="19.5" customHeight="1">
      <c r="A8" s="70">
        <f>B7+1</f>
        <v>13501</v>
      </c>
      <c r="B8" s="64">
        <v>15840</v>
      </c>
      <c r="C8" s="65">
        <v>348</v>
      </c>
      <c r="D8" s="66">
        <v>32</v>
      </c>
      <c r="E8" s="65">
        <v>1220</v>
      </c>
      <c r="F8" s="67">
        <v>111</v>
      </c>
      <c r="G8" s="68">
        <v>30</v>
      </c>
      <c r="H8" s="69">
        <v>4</v>
      </c>
      <c r="I8" s="50">
        <f t="shared" si="2"/>
        <v>380</v>
      </c>
      <c r="J8" s="50">
        <f t="shared" si="0"/>
        <v>1361</v>
      </c>
      <c r="K8" s="50">
        <f t="shared" si="1"/>
        <v>1331</v>
      </c>
      <c r="M8" s="70">
        <f>N7+1</f>
        <v>28801</v>
      </c>
      <c r="N8" s="64">
        <v>30300</v>
      </c>
      <c r="O8" s="68">
        <f t="shared" si="3"/>
        <v>33</v>
      </c>
    </row>
    <row r="9" spans="1:15" s="50" customFormat="1" ht="19.5" customHeight="1">
      <c r="A9" s="70">
        <f aca="true" t="shared" si="4" ref="A9:A43">B8+1</f>
        <v>15841</v>
      </c>
      <c r="B9" s="64">
        <v>16500</v>
      </c>
      <c r="C9" s="65">
        <v>363</v>
      </c>
      <c r="D9" s="71">
        <v>33</v>
      </c>
      <c r="E9" s="65">
        <v>1271</v>
      </c>
      <c r="F9" s="67">
        <v>116</v>
      </c>
      <c r="G9" s="68">
        <v>30</v>
      </c>
      <c r="H9" s="69">
        <v>4</v>
      </c>
      <c r="I9" s="50">
        <f t="shared" si="2"/>
        <v>396</v>
      </c>
      <c r="J9" s="50">
        <f t="shared" si="0"/>
        <v>1417</v>
      </c>
      <c r="K9" s="50">
        <f t="shared" si="1"/>
        <v>1387</v>
      </c>
      <c r="M9" s="70">
        <f aca="true" t="shared" si="5" ref="M9:M29">N8+1</f>
        <v>30301</v>
      </c>
      <c r="N9" s="64">
        <v>31800</v>
      </c>
      <c r="O9" s="68">
        <f t="shared" si="3"/>
        <v>35</v>
      </c>
    </row>
    <row r="10" spans="1:15" s="50" customFormat="1" ht="19.5" customHeight="1">
      <c r="A10" s="70">
        <f t="shared" si="4"/>
        <v>16501</v>
      </c>
      <c r="B10" s="64">
        <v>17280</v>
      </c>
      <c r="C10" s="65">
        <v>380</v>
      </c>
      <c r="D10" s="72">
        <v>35</v>
      </c>
      <c r="E10" s="65">
        <v>1331</v>
      </c>
      <c r="F10" s="67">
        <v>121</v>
      </c>
      <c r="G10" s="68">
        <v>30</v>
      </c>
      <c r="H10" s="69">
        <v>4</v>
      </c>
      <c r="I10" s="50">
        <f t="shared" si="2"/>
        <v>415</v>
      </c>
      <c r="J10" s="50">
        <f t="shared" si="0"/>
        <v>1482</v>
      </c>
      <c r="K10" s="50">
        <f t="shared" si="1"/>
        <v>1452</v>
      </c>
      <c r="M10" s="70">
        <f t="shared" si="5"/>
        <v>31801</v>
      </c>
      <c r="N10" s="64">
        <v>33300</v>
      </c>
      <c r="O10" s="68">
        <f t="shared" si="3"/>
        <v>37</v>
      </c>
    </row>
    <row r="11" spans="1:15" s="50" customFormat="1" ht="19.5" customHeight="1">
      <c r="A11" s="70">
        <f t="shared" si="4"/>
        <v>17281</v>
      </c>
      <c r="B11" s="64">
        <v>17880</v>
      </c>
      <c r="C11" s="65">
        <v>393</v>
      </c>
      <c r="D11" s="66">
        <v>36</v>
      </c>
      <c r="E11" s="65">
        <v>1377</v>
      </c>
      <c r="F11" s="67">
        <v>125</v>
      </c>
      <c r="G11" s="68">
        <v>30</v>
      </c>
      <c r="H11" s="69">
        <v>4</v>
      </c>
      <c r="I11" s="50">
        <f t="shared" si="2"/>
        <v>429</v>
      </c>
      <c r="J11" s="50">
        <f t="shared" si="0"/>
        <v>1532</v>
      </c>
      <c r="K11" s="50">
        <f t="shared" si="1"/>
        <v>1502</v>
      </c>
      <c r="M11" s="70">
        <f t="shared" si="5"/>
        <v>33301</v>
      </c>
      <c r="N11" s="64">
        <v>34800</v>
      </c>
      <c r="O11" s="68">
        <f t="shared" si="3"/>
        <v>38</v>
      </c>
    </row>
    <row r="12" spans="1:15" s="50" customFormat="1" ht="19.5" customHeight="1">
      <c r="A12" s="70">
        <f aca="true" t="shared" si="6" ref="A12:A17">B11+1</f>
        <v>17881</v>
      </c>
      <c r="B12" s="64">
        <v>19047</v>
      </c>
      <c r="C12" s="65">
        <v>419</v>
      </c>
      <c r="D12" s="66">
        <v>38</v>
      </c>
      <c r="E12" s="65">
        <v>1467</v>
      </c>
      <c r="F12" s="67">
        <v>133</v>
      </c>
      <c r="G12" s="68">
        <v>30</v>
      </c>
      <c r="H12" s="69">
        <v>5</v>
      </c>
      <c r="I12" s="50">
        <f t="shared" si="2"/>
        <v>457</v>
      </c>
      <c r="J12" s="50">
        <f t="shared" si="0"/>
        <v>1630</v>
      </c>
      <c r="K12" s="50">
        <f t="shared" si="1"/>
        <v>1600</v>
      </c>
      <c r="M12" s="70">
        <f t="shared" si="5"/>
        <v>34801</v>
      </c>
      <c r="N12" s="64">
        <v>36300</v>
      </c>
      <c r="O12" s="68">
        <f t="shared" si="3"/>
        <v>40</v>
      </c>
    </row>
    <row r="13" spans="1:15" s="50" customFormat="1" ht="19.5" customHeight="1">
      <c r="A13" s="70">
        <f t="shared" si="6"/>
        <v>19048</v>
      </c>
      <c r="B13" s="64">
        <v>20008</v>
      </c>
      <c r="C13" s="65">
        <v>440</v>
      </c>
      <c r="D13" s="66">
        <v>40</v>
      </c>
      <c r="E13" s="65">
        <v>1541</v>
      </c>
      <c r="F13" s="67">
        <v>140</v>
      </c>
      <c r="G13" s="68">
        <v>30</v>
      </c>
      <c r="H13" s="69">
        <v>5</v>
      </c>
      <c r="I13" s="50">
        <f t="shared" si="2"/>
        <v>480</v>
      </c>
      <c r="J13" s="50">
        <f t="shared" si="0"/>
        <v>1711</v>
      </c>
      <c r="K13" s="50">
        <f t="shared" si="1"/>
        <v>1681</v>
      </c>
      <c r="M13" s="70">
        <f t="shared" si="5"/>
        <v>36301</v>
      </c>
      <c r="N13" s="64">
        <v>38200</v>
      </c>
      <c r="O13" s="68">
        <f t="shared" si="3"/>
        <v>42</v>
      </c>
    </row>
    <row r="14" spans="1:15" s="50" customFormat="1" ht="19.5" customHeight="1">
      <c r="A14" s="70">
        <f t="shared" si="6"/>
        <v>20009</v>
      </c>
      <c r="B14" s="64">
        <v>21009</v>
      </c>
      <c r="C14" s="65">
        <v>462</v>
      </c>
      <c r="D14" s="66">
        <v>42</v>
      </c>
      <c r="E14" s="65">
        <v>1618</v>
      </c>
      <c r="F14" s="67">
        <v>147</v>
      </c>
      <c r="G14" s="68">
        <v>30</v>
      </c>
      <c r="H14" s="69">
        <v>5</v>
      </c>
      <c r="I14" s="50">
        <f t="shared" si="2"/>
        <v>504</v>
      </c>
      <c r="J14" s="50">
        <f t="shared" si="0"/>
        <v>1795</v>
      </c>
      <c r="K14" s="50">
        <f t="shared" si="1"/>
        <v>1765</v>
      </c>
      <c r="M14" s="70">
        <f t="shared" si="5"/>
        <v>38201</v>
      </c>
      <c r="N14" s="64">
        <v>40100</v>
      </c>
      <c r="O14" s="68">
        <f t="shared" si="3"/>
        <v>44</v>
      </c>
    </row>
    <row r="15" spans="1:15" s="50" customFormat="1" ht="19.5" customHeight="1">
      <c r="A15" s="70">
        <f t="shared" si="6"/>
        <v>21010</v>
      </c>
      <c r="B15" s="64">
        <v>22000</v>
      </c>
      <c r="C15" s="65">
        <v>484</v>
      </c>
      <c r="D15" s="72">
        <v>44</v>
      </c>
      <c r="E15" s="65">
        <v>1694</v>
      </c>
      <c r="F15" s="67">
        <v>154</v>
      </c>
      <c r="G15" s="68">
        <v>30</v>
      </c>
      <c r="H15" s="69">
        <v>6</v>
      </c>
      <c r="I15" s="50">
        <f t="shared" si="2"/>
        <v>528</v>
      </c>
      <c r="J15" s="50">
        <f t="shared" si="0"/>
        <v>1878</v>
      </c>
      <c r="K15" s="50">
        <f t="shared" si="1"/>
        <v>1848</v>
      </c>
      <c r="M15" s="70">
        <f t="shared" si="5"/>
        <v>40101</v>
      </c>
      <c r="N15" s="64">
        <v>42000</v>
      </c>
      <c r="O15" s="68">
        <f t="shared" si="3"/>
        <v>46</v>
      </c>
    </row>
    <row r="16" spans="1:15" s="50" customFormat="1" ht="19.5" customHeight="1">
      <c r="A16" s="70">
        <f t="shared" si="6"/>
        <v>22001</v>
      </c>
      <c r="B16" s="64">
        <v>23100</v>
      </c>
      <c r="C16" s="65">
        <v>508</v>
      </c>
      <c r="D16" s="66">
        <v>46</v>
      </c>
      <c r="E16" s="65">
        <v>1779</v>
      </c>
      <c r="F16" s="67">
        <v>162</v>
      </c>
      <c r="G16" s="68">
        <v>30</v>
      </c>
      <c r="H16" s="69">
        <v>6</v>
      </c>
      <c r="I16" s="50">
        <f t="shared" si="2"/>
        <v>554</v>
      </c>
      <c r="J16" s="50">
        <f t="shared" si="0"/>
        <v>1971</v>
      </c>
      <c r="K16" s="50">
        <f t="shared" si="1"/>
        <v>1941</v>
      </c>
      <c r="M16" s="70">
        <f t="shared" si="5"/>
        <v>42001</v>
      </c>
      <c r="N16" s="64">
        <v>43900</v>
      </c>
      <c r="O16" s="68">
        <f t="shared" si="3"/>
        <v>48</v>
      </c>
    </row>
    <row r="17" spans="1:15" s="50" customFormat="1" ht="19.5" customHeight="1">
      <c r="A17" s="70">
        <f t="shared" si="6"/>
        <v>23101</v>
      </c>
      <c r="B17" s="64">
        <v>24000</v>
      </c>
      <c r="C17" s="65">
        <v>528</v>
      </c>
      <c r="D17" s="66">
        <v>48</v>
      </c>
      <c r="E17" s="65">
        <v>1848</v>
      </c>
      <c r="F17" s="67">
        <v>168</v>
      </c>
      <c r="G17" s="68">
        <v>30</v>
      </c>
      <c r="H17" s="69">
        <v>6</v>
      </c>
      <c r="I17" s="50">
        <f t="shared" si="2"/>
        <v>576</v>
      </c>
      <c r="J17" s="50">
        <f t="shared" si="0"/>
        <v>2046</v>
      </c>
      <c r="K17" s="50">
        <f t="shared" si="1"/>
        <v>2016</v>
      </c>
      <c r="M17" s="70">
        <f t="shared" si="5"/>
        <v>43901</v>
      </c>
      <c r="N17" s="64">
        <v>45800</v>
      </c>
      <c r="O17" s="68">
        <f t="shared" si="3"/>
        <v>50</v>
      </c>
    </row>
    <row r="18" spans="1:15" s="50" customFormat="1" ht="19.5" customHeight="1">
      <c r="A18" s="70">
        <f t="shared" si="4"/>
        <v>24001</v>
      </c>
      <c r="B18" s="64">
        <v>25250</v>
      </c>
      <c r="C18" s="65">
        <v>556</v>
      </c>
      <c r="D18" s="66">
        <v>51</v>
      </c>
      <c r="E18" s="65">
        <v>1944</v>
      </c>
      <c r="F18" s="67">
        <v>177</v>
      </c>
      <c r="G18" s="68">
        <v>30</v>
      </c>
      <c r="H18" s="69">
        <v>6</v>
      </c>
      <c r="I18" s="50">
        <f t="shared" si="2"/>
        <v>607</v>
      </c>
      <c r="J18" s="50">
        <f t="shared" si="0"/>
        <v>2151</v>
      </c>
      <c r="K18" s="50">
        <f t="shared" si="1"/>
        <v>2121</v>
      </c>
      <c r="M18" s="70">
        <f t="shared" si="5"/>
        <v>45801</v>
      </c>
      <c r="N18" s="64">
        <v>48200</v>
      </c>
      <c r="O18" s="68">
        <f t="shared" si="3"/>
        <v>53</v>
      </c>
    </row>
    <row r="19" spans="1:15" s="50" customFormat="1" ht="19.5" customHeight="1">
      <c r="A19" s="70">
        <f t="shared" si="4"/>
        <v>25251</v>
      </c>
      <c r="B19" s="64">
        <v>26400</v>
      </c>
      <c r="C19" s="65">
        <v>581</v>
      </c>
      <c r="D19" s="66">
        <v>53</v>
      </c>
      <c r="E19" s="65">
        <v>2033</v>
      </c>
      <c r="F19" s="67">
        <v>185</v>
      </c>
      <c r="G19" s="68">
        <v>30</v>
      </c>
      <c r="H19" s="69">
        <v>7</v>
      </c>
      <c r="I19" s="50">
        <f t="shared" si="2"/>
        <v>634</v>
      </c>
      <c r="J19" s="50">
        <f t="shared" si="0"/>
        <v>2248</v>
      </c>
      <c r="K19" s="50">
        <f t="shared" si="1"/>
        <v>2218</v>
      </c>
      <c r="M19" s="70">
        <f t="shared" si="5"/>
        <v>48201</v>
      </c>
      <c r="N19" s="64">
        <v>50600</v>
      </c>
      <c r="O19" s="68">
        <f t="shared" si="3"/>
        <v>56</v>
      </c>
    </row>
    <row r="20" spans="1:15" s="50" customFormat="1" ht="19.5" customHeight="1">
      <c r="A20" s="70">
        <f t="shared" si="4"/>
        <v>26401</v>
      </c>
      <c r="B20" s="64">
        <v>27470</v>
      </c>
      <c r="C20" s="65">
        <v>604</v>
      </c>
      <c r="D20" s="66">
        <v>55</v>
      </c>
      <c r="E20" s="65">
        <v>2115</v>
      </c>
      <c r="F20" s="67">
        <v>192</v>
      </c>
      <c r="G20" s="68">
        <v>30</v>
      </c>
      <c r="H20" s="69">
        <v>7</v>
      </c>
      <c r="I20" s="50">
        <f>SUM(C20:D20)</f>
        <v>659</v>
      </c>
      <c r="J20" s="50">
        <f>SUM(E20:G20)</f>
        <v>2337</v>
      </c>
      <c r="K20" s="50">
        <f>SUM(E20:F20)</f>
        <v>2307</v>
      </c>
      <c r="M20" s="70">
        <f t="shared" si="5"/>
        <v>50601</v>
      </c>
      <c r="N20" s="64">
        <v>53000</v>
      </c>
      <c r="O20" s="68">
        <f t="shared" si="3"/>
        <v>58</v>
      </c>
    </row>
    <row r="21" spans="1:15" s="50" customFormat="1" ht="19.5" customHeight="1">
      <c r="A21" s="70">
        <f t="shared" si="4"/>
        <v>27471</v>
      </c>
      <c r="B21" s="64">
        <v>27600</v>
      </c>
      <c r="C21" s="65">
        <v>607</v>
      </c>
      <c r="D21" s="66">
        <v>55</v>
      </c>
      <c r="E21" s="65">
        <v>2125</v>
      </c>
      <c r="F21" s="67">
        <v>193</v>
      </c>
      <c r="G21" s="68">
        <v>30</v>
      </c>
      <c r="H21" s="69">
        <v>7</v>
      </c>
      <c r="I21" s="50">
        <f t="shared" si="2"/>
        <v>662</v>
      </c>
      <c r="J21" s="50">
        <f t="shared" si="0"/>
        <v>2348</v>
      </c>
      <c r="K21" s="50">
        <f t="shared" si="1"/>
        <v>2318</v>
      </c>
      <c r="M21" s="70">
        <f t="shared" si="5"/>
        <v>53001</v>
      </c>
      <c r="N21" s="64">
        <v>55400</v>
      </c>
      <c r="O21" s="68">
        <f t="shared" si="3"/>
        <v>61</v>
      </c>
    </row>
    <row r="22" spans="1:15" s="50" customFormat="1" ht="19.5" customHeight="1">
      <c r="A22" s="70">
        <f t="shared" si="4"/>
        <v>27601</v>
      </c>
      <c r="B22" s="64">
        <v>28800</v>
      </c>
      <c r="C22" s="65">
        <v>634</v>
      </c>
      <c r="D22" s="66">
        <v>58</v>
      </c>
      <c r="E22" s="65">
        <v>2218</v>
      </c>
      <c r="F22" s="67">
        <v>202</v>
      </c>
      <c r="G22" s="68">
        <v>32</v>
      </c>
      <c r="H22" s="69">
        <v>7</v>
      </c>
      <c r="I22" s="50">
        <f t="shared" si="2"/>
        <v>692</v>
      </c>
      <c r="J22" s="50">
        <f t="shared" si="0"/>
        <v>2452</v>
      </c>
      <c r="K22" s="50">
        <f t="shared" si="1"/>
        <v>2420</v>
      </c>
      <c r="M22" s="70">
        <f t="shared" si="5"/>
        <v>55401</v>
      </c>
      <c r="N22" s="64">
        <v>57800</v>
      </c>
      <c r="O22" s="68">
        <f t="shared" si="3"/>
        <v>64</v>
      </c>
    </row>
    <row r="23" spans="1:15" s="50" customFormat="1" ht="19.5" customHeight="1">
      <c r="A23" s="70">
        <f t="shared" si="4"/>
        <v>28801</v>
      </c>
      <c r="B23" s="64">
        <v>30300</v>
      </c>
      <c r="C23" s="65">
        <v>667</v>
      </c>
      <c r="D23" s="66">
        <v>61</v>
      </c>
      <c r="E23" s="65">
        <v>2333</v>
      </c>
      <c r="F23" s="67">
        <v>212</v>
      </c>
      <c r="G23" s="68">
        <v>33</v>
      </c>
      <c r="H23" s="69">
        <v>8</v>
      </c>
      <c r="I23" s="50">
        <f t="shared" si="2"/>
        <v>728</v>
      </c>
      <c r="J23" s="50">
        <f t="shared" si="0"/>
        <v>2578</v>
      </c>
      <c r="K23" s="50">
        <f t="shared" si="1"/>
        <v>2545</v>
      </c>
      <c r="M23" s="70">
        <f t="shared" si="5"/>
        <v>57801</v>
      </c>
      <c r="N23" s="64">
        <v>60800</v>
      </c>
      <c r="O23" s="68">
        <f t="shared" si="3"/>
        <v>67</v>
      </c>
    </row>
    <row r="24" spans="1:15" s="50" customFormat="1" ht="19.5" customHeight="1">
      <c r="A24" s="70">
        <f t="shared" si="4"/>
        <v>30301</v>
      </c>
      <c r="B24" s="64">
        <v>31800</v>
      </c>
      <c r="C24" s="65">
        <v>700</v>
      </c>
      <c r="D24" s="66">
        <v>64</v>
      </c>
      <c r="E24" s="65">
        <v>2449</v>
      </c>
      <c r="F24" s="67">
        <v>223</v>
      </c>
      <c r="G24" s="68">
        <v>35</v>
      </c>
      <c r="H24" s="69">
        <v>8</v>
      </c>
      <c r="I24" s="50">
        <f t="shared" si="2"/>
        <v>764</v>
      </c>
      <c r="J24" s="50">
        <f t="shared" si="0"/>
        <v>2707</v>
      </c>
      <c r="K24" s="50">
        <f t="shared" si="1"/>
        <v>2672</v>
      </c>
      <c r="M24" s="70">
        <f t="shared" si="5"/>
        <v>60801</v>
      </c>
      <c r="N24" s="64">
        <v>63800</v>
      </c>
      <c r="O24" s="68">
        <f t="shared" si="3"/>
        <v>70</v>
      </c>
    </row>
    <row r="25" spans="1:15" s="50" customFormat="1" ht="19.5" customHeight="1">
      <c r="A25" s="70">
        <f t="shared" si="4"/>
        <v>31801</v>
      </c>
      <c r="B25" s="64">
        <v>33300</v>
      </c>
      <c r="C25" s="65">
        <v>733</v>
      </c>
      <c r="D25" s="66">
        <v>67</v>
      </c>
      <c r="E25" s="65">
        <v>2564</v>
      </c>
      <c r="F25" s="67">
        <v>233</v>
      </c>
      <c r="G25" s="68">
        <v>37</v>
      </c>
      <c r="H25" s="69">
        <v>8</v>
      </c>
      <c r="I25" s="50">
        <f t="shared" si="2"/>
        <v>800</v>
      </c>
      <c r="J25" s="50">
        <f t="shared" si="0"/>
        <v>2834</v>
      </c>
      <c r="K25" s="50">
        <f t="shared" si="1"/>
        <v>2797</v>
      </c>
      <c r="M25" s="70">
        <f t="shared" si="5"/>
        <v>63801</v>
      </c>
      <c r="N25" s="64">
        <v>66800</v>
      </c>
      <c r="O25" s="68">
        <f t="shared" si="3"/>
        <v>73</v>
      </c>
    </row>
    <row r="26" spans="1:15" s="50" customFormat="1" ht="19.5" customHeight="1">
      <c r="A26" s="70">
        <f t="shared" si="4"/>
        <v>33301</v>
      </c>
      <c r="B26" s="64">
        <v>34800</v>
      </c>
      <c r="C26" s="65">
        <v>766</v>
      </c>
      <c r="D26" s="66">
        <v>70</v>
      </c>
      <c r="E26" s="65">
        <v>2680</v>
      </c>
      <c r="F26" s="67">
        <v>244</v>
      </c>
      <c r="G26" s="68">
        <v>38</v>
      </c>
      <c r="H26" s="69">
        <v>9</v>
      </c>
      <c r="I26" s="50">
        <f t="shared" si="2"/>
        <v>836</v>
      </c>
      <c r="J26" s="50">
        <f t="shared" si="0"/>
        <v>2962</v>
      </c>
      <c r="K26" s="50">
        <f t="shared" si="1"/>
        <v>2924</v>
      </c>
      <c r="M26" s="70">
        <f t="shared" si="5"/>
        <v>66801</v>
      </c>
      <c r="N26" s="64">
        <v>69800</v>
      </c>
      <c r="O26" s="68">
        <f t="shared" si="3"/>
        <v>77</v>
      </c>
    </row>
    <row r="27" spans="1:15" s="50" customFormat="1" ht="19.5" customHeight="1">
      <c r="A27" s="70">
        <f t="shared" si="4"/>
        <v>34801</v>
      </c>
      <c r="B27" s="64">
        <v>36300</v>
      </c>
      <c r="C27" s="65">
        <v>799</v>
      </c>
      <c r="D27" s="66">
        <v>73</v>
      </c>
      <c r="E27" s="65">
        <v>2795</v>
      </c>
      <c r="F27" s="67">
        <v>254</v>
      </c>
      <c r="G27" s="68">
        <v>40</v>
      </c>
      <c r="H27" s="69">
        <v>9</v>
      </c>
      <c r="I27" s="50">
        <f t="shared" si="2"/>
        <v>872</v>
      </c>
      <c r="J27" s="50">
        <f t="shared" si="0"/>
        <v>3089</v>
      </c>
      <c r="K27" s="50">
        <f t="shared" si="1"/>
        <v>3049</v>
      </c>
      <c r="M27" s="70">
        <f t="shared" si="5"/>
        <v>69801</v>
      </c>
      <c r="N27" s="64">
        <v>72800</v>
      </c>
      <c r="O27" s="68">
        <f t="shared" si="3"/>
        <v>80</v>
      </c>
    </row>
    <row r="28" spans="1:15" s="50" customFormat="1" ht="19.5" customHeight="1">
      <c r="A28" s="70">
        <f t="shared" si="4"/>
        <v>36301</v>
      </c>
      <c r="B28" s="64">
        <v>38200</v>
      </c>
      <c r="C28" s="65">
        <v>840</v>
      </c>
      <c r="D28" s="66">
        <v>76</v>
      </c>
      <c r="E28" s="65">
        <v>2941</v>
      </c>
      <c r="F28" s="67">
        <v>267</v>
      </c>
      <c r="G28" s="68">
        <v>42</v>
      </c>
      <c r="H28" s="69">
        <v>10</v>
      </c>
      <c r="I28" s="50">
        <f t="shared" si="2"/>
        <v>916</v>
      </c>
      <c r="J28" s="50">
        <f t="shared" si="0"/>
        <v>3250</v>
      </c>
      <c r="K28" s="50">
        <f t="shared" si="1"/>
        <v>3208</v>
      </c>
      <c r="M28" s="70">
        <f t="shared" si="5"/>
        <v>72801</v>
      </c>
      <c r="N28" s="64">
        <v>72800</v>
      </c>
      <c r="O28" s="68">
        <f t="shared" si="3"/>
        <v>80</v>
      </c>
    </row>
    <row r="29" spans="1:15" s="50" customFormat="1" ht="19.5" customHeight="1">
      <c r="A29" s="70">
        <f t="shared" si="4"/>
        <v>38201</v>
      </c>
      <c r="B29" s="64">
        <v>40100</v>
      </c>
      <c r="C29" s="65">
        <v>882</v>
      </c>
      <c r="D29" s="66">
        <v>80</v>
      </c>
      <c r="E29" s="65">
        <v>3088</v>
      </c>
      <c r="F29" s="67">
        <v>281</v>
      </c>
      <c r="G29" s="68">
        <v>44</v>
      </c>
      <c r="H29" s="69">
        <v>10</v>
      </c>
      <c r="I29" s="50">
        <f t="shared" si="2"/>
        <v>962</v>
      </c>
      <c r="J29" s="50">
        <f t="shared" si="0"/>
        <v>3413</v>
      </c>
      <c r="K29" s="50">
        <f t="shared" si="1"/>
        <v>3369</v>
      </c>
      <c r="M29" s="70">
        <f t="shared" si="5"/>
        <v>72801</v>
      </c>
      <c r="N29" s="73">
        <v>72800</v>
      </c>
      <c r="O29" s="68">
        <f t="shared" si="3"/>
        <v>80</v>
      </c>
    </row>
    <row r="30" spans="1:15" s="50" customFormat="1" ht="19.5" customHeight="1">
      <c r="A30" s="70">
        <f t="shared" si="4"/>
        <v>40101</v>
      </c>
      <c r="B30" s="73">
        <v>42000</v>
      </c>
      <c r="C30" s="65">
        <v>924</v>
      </c>
      <c r="D30" s="74">
        <v>84</v>
      </c>
      <c r="E30" s="65">
        <v>3234</v>
      </c>
      <c r="F30" s="75">
        <v>294</v>
      </c>
      <c r="G30" s="68">
        <v>46</v>
      </c>
      <c r="H30" s="69">
        <v>11</v>
      </c>
      <c r="I30" s="50">
        <f t="shared" si="2"/>
        <v>1008</v>
      </c>
      <c r="J30" s="50">
        <f t="shared" si="0"/>
        <v>3574</v>
      </c>
      <c r="K30" s="50">
        <f t="shared" si="1"/>
        <v>3528</v>
      </c>
      <c r="M30" s="76"/>
      <c r="N30" s="125"/>
      <c r="O30" s="126"/>
    </row>
    <row r="31" spans="1:15" s="50" customFormat="1" ht="19.5" customHeight="1">
      <c r="A31" s="70">
        <f t="shared" si="4"/>
        <v>42001</v>
      </c>
      <c r="B31" s="73">
        <v>43900</v>
      </c>
      <c r="C31" s="65">
        <v>966</v>
      </c>
      <c r="D31" s="74">
        <v>88</v>
      </c>
      <c r="E31" s="65">
        <v>3380</v>
      </c>
      <c r="F31" s="75">
        <v>307</v>
      </c>
      <c r="G31" s="68">
        <v>48</v>
      </c>
      <c r="H31" s="69">
        <v>11</v>
      </c>
      <c r="I31" s="50">
        <f t="shared" si="2"/>
        <v>1054</v>
      </c>
      <c r="J31" s="50">
        <f t="shared" si="0"/>
        <v>3735</v>
      </c>
      <c r="K31" s="50">
        <f t="shared" si="1"/>
        <v>3687</v>
      </c>
      <c r="M31" s="70"/>
      <c r="N31" s="76"/>
      <c r="O31" s="77"/>
    </row>
    <row r="32" spans="1:15" s="50" customFormat="1" ht="19.5" customHeight="1">
      <c r="A32" s="70">
        <f t="shared" si="4"/>
        <v>43901</v>
      </c>
      <c r="B32" s="64">
        <v>45800</v>
      </c>
      <c r="C32" s="65">
        <v>1008</v>
      </c>
      <c r="D32" s="71">
        <v>92</v>
      </c>
      <c r="E32" s="65">
        <v>3527</v>
      </c>
      <c r="F32" s="67">
        <v>321</v>
      </c>
      <c r="G32" s="68">
        <v>50</v>
      </c>
      <c r="H32" s="69">
        <v>11</v>
      </c>
      <c r="I32" s="50">
        <f t="shared" si="2"/>
        <v>1100</v>
      </c>
      <c r="J32" s="50">
        <f t="shared" si="0"/>
        <v>3898</v>
      </c>
      <c r="K32" s="50">
        <f t="shared" si="1"/>
        <v>3848</v>
      </c>
      <c r="M32" s="70"/>
      <c r="N32" s="76"/>
      <c r="O32" s="77"/>
    </row>
    <row r="33" spans="1:15" s="50" customFormat="1" ht="19.5" customHeight="1">
      <c r="A33" s="70">
        <f t="shared" si="4"/>
        <v>45801</v>
      </c>
      <c r="B33" s="64">
        <v>45800</v>
      </c>
      <c r="C33" s="65">
        <v>1008</v>
      </c>
      <c r="D33" s="71">
        <v>92</v>
      </c>
      <c r="E33" s="65">
        <v>3527</v>
      </c>
      <c r="F33" s="67">
        <v>321</v>
      </c>
      <c r="G33" s="68">
        <v>53</v>
      </c>
      <c r="H33" s="69">
        <v>11</v>
      </c>
      <c r="I33" s="50">
        <f t="shared" si="2"/>
        <v>1100</v>
      </c>
      <c r="J33" s="50">
        <f t="shared" si="0"/>
        <v>3901</v>
      </c>
      <c r="K33" s="50">
        <f t="shared" si="1"/>
        <v>3848</v>
      </c>
      <c r="M33" s="70"/>
      <c r="N33" s="76"/>
      <c r="O33" s="77"/>
    </row>
    <row r="34" spans="1:15" s="50" customFormat="1" ht="19.5" customHeight="1">
      <c r="A34" s="70">
        <f t="shared" si="4"/>
        <v>45801</v>
      </c>
      <c r="B34" s="64">
        <v>45800</v>
      </c>
      <c r="C34" s="65">
        <v>1008</v>
      </c>
      <c r="D34" s="71">
        <v>92</v>
      </c>
      <c r="E34" s="65">
        <v>3527</v>
      </c>
      <c r="F34" s="67">
        <v>321</v>
      </c>
      <c r="G34" s="68">
        <v>56</v>
      </c>
      <c r="H34" s="69">
        <v>11</v>
      </c>
      <c r="I34" s="50">
        <f t="shared" si="2"/>
        <v>1100</v>
      </c>
      <c r="J34" s="50">
        <f t="shared" si="0"/>
        <v>3904</v>
      </c>
      <c r="K34" s="50">
        <f t="shared" si="1"/>
        <v>3848</v>
      </c>
      <c r="M34" s="70"/>
      <c r="N34" s="76"/>
      <c r="O34" s="77"/>
    </row>
    <row r="35" spans="1:15" s="50" customFormat="1" ht="19.5" customHeight="1">
      <c r="A35" s="70">
        <f t="shared" si="4"/>
        <v>45801</v>
      </c>
      <c r="B35" s="64">
        <v>45800</v>
      </c>
      <c r="C35" s="65">
        <v>1008</v>
      </c>
      <c r="D35" s="71">
        <v>92</v>
      </c>
      <c r="E35" s="65">
        <v>3527</v>
      </c>
      <c r="F35" s="67">
        <v>321</v>
      </c>
      <c r="G35" s="68">
        <v>58</v>
      </c>
      <c r="H35" s="69">
        <v>11</v>
      </c>
      <c r="I35" s="50">
        <f t="shared" si="2"/>
        <v>1100</v>
      </c>
      <c r="J35" s="50">
        <f t="shared" si="0"/>
        <v>3906</v>
      </c>
      <c r="K35" s="50">
        <f t="shared" si="1"/>
        <v>3848</v>
      </c>
      <c r="M35" s="70"/>
      <c r="N35" s="76"/>
      <c r="O35" s="77"/>
    </row>
    <row r="36" spans="1:15" s="50" customFormat="1" ht="19.5" customHeight="1">
      <c r="A36" s="70">
        <f t="shared" si="4"/>
        <v>45801</v>
      </c>
      <c r="B36" s="64">
        <v>45800</v>
      </c>
      <c r="C36" s="65">
        <v>1008</v>
      </c>
      <c r="D36" s="71">
        <v>92</v>
      </c>
      <c r="E36" s="65">
        <v>3527</v>
      </c>
      <c r="F36" s="67">
        <v>321</v>
      </c>
      <c r="G36" s="68">
        <v>61</v>
      </c>
      <c r="H36" s="69">
        <v>11</v>
      </c>
      <c r="I36" s="50">
        <f t="shared" si="2"/>
        <v>1100</v>
      </c>
      <c r="J36" s="50">
        <f t="shared" si="0"/>
        <v>3909</v>
      </c>
      <c r="K36" s="50">
        <f t="shared" si="1"/>
        <v>3848</v>
      </c>
      <c r="M36" s="70"/>
      <c r="N36" s="76"/>
      <c r="O36" s="77"/>
    </row>
    <row r="37" spans="1:15" s="50" customFormat="1" ht="19.5" customHeight="1">
      <c r="A37" s="70">
        <f t="shared" si="4"/>
        <v>45801</v>
      </c>
      <c r="B37" s="64">
        <v>45800</v>
      </c>
      <c r="C37" s="65">
        <v>1008</v>
      </c>
      <c r="D37" s="71">
        <v>92</v>
      </c>
      <c r="E37" s="65">
        <v>3527</v>
      </c>
      <c r="F37" s="67">
        <v>321</v>
      </c>
      <c r="G37" s="68">
        <v>64</v>
      </c>
      <c r="H37" s="69">
        <v>11</v>
      </c>
      <c r="I37" s="50">
        <f t="shared" si="2"/>
        <v>1100</v>
      </c>
      <c r="J37" s="50">
        <f t="shared" si="0"/>
        <v>3912</v>
      </c>
      <c r="K37" s="50">
        <f t="shared" si="1"/>
        <v>3848</v>
      </c>
      <c r="M37" s="70"/>
      <c r="N37" s="76"/>
      <c r="O37" s="77"/>
    </row>
    <row r="38" spans="1:15" s="50" customFormat="1" ht="19.5" customHeight="1">
      <c r="A38" s="70">
        <f t="shared" si="4"/>
        <v>45801</v>
      </c>
      <c r="B38" s="64">
        <v>45800</v>
      </c>
      <c r="C38" s="65">
        <v>1008</v>
      </c>
      <c r="D38" s="71">
        <v>92</v>
      </c>
      <c r="E38" s="65">
        <v>3527</v>
      </c>
      <c r="F38" s="67">
        <v>321</v>
      </c>
      <c r="G38" s="68">
        <v>67</v>
      </c>
      <c r="H38" s="69">
        <v>11</v>
      </c>
      <c r="I38" s="50">
        <f t="shared" si="2"/>
        <v>1100</v>
      </c>
      <c r="J38" s="50">
        <f t="shared" si="0"/>
        <v>3915</v>
      </c>
      <c r="K38" s="50">
        <f t="shared" si="1"/>
        <v>3848</v>
      </c>
      <c r="M38" s="70"/>
      <c r="N38" s="76"/>
      <c r="O38" s="77"/>
    </row>
    <row r="39" spans="1:15" s="50" customFormat="1" ht="19.5" customHeight="1">
      <c r="A39" s="70">
        <f t="shared" si="4"/>
        <v>45801</v>
      </c>
      <c r="B39" s="64">
        <v>45800</v>
      </c>
      <c r="C39" s="65">
        <v>1008</v>
      </c>
      <c r="D39" s="71">
        <v>92</v>
      </c>
      <c r="E39" s="65">
        <v>3527</v>
      </c>
      <c r="F39" s="67">
        <v>321</v>
      </c>
      <c r="G39" s="68">
        <v>70</v>
      </c>
      <c r="H39" s="69">
        <v>11</v>
      </c>
      <c r="I39" s="50">
        <f t="shared" si="2"/>
        <v>1100</v>
      </c>
      <c r="J39" s="50">
        <f t="shared" si="0"/>
        <v>3918</v>
      </c>
      <c r="K39" s="50">
        <f t="shared" si="1"/>
        <v>3848</v>
      </c>
      <c r="M39" s="70"/>
      <c r="N39" s="76"/>
      <c r="O39" s="77"/>
    </row>
    <row r="40" spans="1:15" s="50" customFormat="1" ht="19.5" customHeight="1">
      <c r="A40" s="70">
        <f t="shared" si="4"/>
        <v>45801</v>
      </c>
      <c r="B40" s="64">
        <v>45800</v>
      </c>
      <c r="C40" s="65">
        <v>1008</v>
      </c>
      <c r="D40" s="71">
        <v>92</v>
      </c>
      <c r="E40" s="65">
        <v>3527</v>
      </c>
      <c r="F40" s="67">
        <v>321</v>
      </c>
      <c r="G40" s="68">
        <v>73</v>
      </c>
      <c r="H40" s="69">
        <v>11</v>
      </c>
      <c r="I40" s="50">
        <f t="shared" si="2"/>
        <v>1100</v>
      </c>
      <c r="J40" s="50">
        <f t="shared" si="0"/>
        <v>3921</v>
      </c>
      <c r="K40" s="50">
        <f t="shared" si="1"/>
        <v>3848</v>
      </c>
      <c r="M40" s="70"/>
      <c r="N40" s="76"/>
      <c r="O40" s="77"/>
    </row>
    <row r="41" spans="1:15" s="50" customFormat="1" ht="19.5" customHeight="1">
      <c r="A41" s="70">
        <f t="shared" si="4"/>
        <v>45801</v>
      </c>
      <c r="B41" s="64">
        <v>45800</v>
      </c>
      <c r="C41" s="65">
        <v>1008</v>
      </c>
      <c r="D41" s="71">
        <v>92</v>
      </c>
      <c r="E41" s="65">
        <v>3527</v>
      </c>
      <c r="F41" s="67">
        <v>321</v>
      </c>
      <c r="G41" s="68">
        <v>77</v>
      </c>
      <c r="H41" s="69">
        <v>11</v>
      </c>
      <c r="I41" s="50">
        <f t="shared" si="2"/>
        <v>1100</v>
      </c>
      <c r="J41" s="50">
        <f t="shared" si="0"/>
        <v>3925</v>
      </c>
      <c r="K41" s="50">
        <f t="shared" si="1"/>
        <v>3848</v>
      </c>
      <c r="M41" s="70"/>
      <c r="N41" s="76"/>
      <c r="O41" s="77"/>
    </row>
    <row r="42" spans="1:15" s="50" customFormat="1" ht="19.5" customHeight="1">
      <c r="A42" s="70">
        <f t="shared" si="4"/>
        <v>45801</v>
      </c>
      <c r="B42" s="73">
        <v>45800</v>
      </c>
      <c r="C42" s="65">
        <v>1008</v>
      </c>
      <c r="D42" s="74">
        <v>92</v>
      </c>
      <c r="E42" s="179">
        <v>3527</v>
      </c>
      <c r="F42" s="75">
        <v>321</v>
      </c>
      <c r="G42" s="68">
        <v>80</v>
      </c>
      <c r="H42" s="69">
        <v>11</v>
      </c>
      <c r="I42" s="50">
        <f t="shared" si="2"/>
        <v>1100</v>
      </c>
      <c r="J42" s="50">
        <f t="shared" si="0"/>
        <v>3928</v>
      </c>
      <c r="K42" s="50">
        <f t="shared" si="1"/>
        <v>3848</v>
      </c>
      <c r="M42" s="83"/>
      <c r="N42" s="84"/>
      <c r="O42" s="83"/>
    </row>
    <row r="43" spans="1:15" ht="19.5" customHeight="1" thickBot="1">
      <c r="A43" s="70">
        <f t="shared" si="4"/>
        <v>45801</v>
      </c>
      <c r="B43" s="78">
        <v>45800</v>
      </c>
      <c r="C43" s="79">
        <v>1008</v>
      </c>
      <c r="D43" s="80">
        <v>92</v>
      </c>
      <c r="E43" s="79">
        <v>3527</v>
      </c>
      <c r="F43" s="81">
        <v>321</v>
      </c>
      <c r="G43" s="82">
        <v>80</v>
      </c>
      <c r="H43" s="203">
        <v>11</v>
      </c>
      <c r="I43" s="50">
        <f t="shared" si="2"/>
        <v>1100</v>
      </c>
      <c r="J43" s="50">
        <f t="shared" si="0"/>
        <v>3928</v>
      </c>
      <c r="K43" s="50">
        <f t="shared" si="1"/>
        <v>3848</v>
      </c>
      <c r="M43" s="85"/>
      <c r="N43" s="86"/>
      <c r="O43" s="85"/>
    </row>
    <row r="44" spans="3:14" ht="15.75">
      <c r="C44" s="84"/>
      <c r="D44" s="84"/>
      <c r="N44" s="89"/>
    </row>
    <row r="45" spans="2:14" ht="15.75">
      <c r="B45" s="164" t="s">
        <v>571</v>
      </c>
      <c r="C45" s="90"/>
      <c r="D45" s="90"/>
      <c r="N45" s="89"/>
    </row>
    <row r="46" spans="2:14" ht="15.75">
      <c r="B46" s="89" t="s">
        <v>554</v>
      </c>
      <c r="C46" s="90"/>
      <c r="D46" s="90"/>
      <c r="F46" s="91"/>
      <c r="N46" s="89"/>
    </row>
    <row r="47" spans="2:14" ht="15.75">
      <c r="B47" s="164" t="s">
        <v>572</v>
      </c>
      <c r="C47" s="90"/>
      <c r="D47" s="90"/>
      <c r="N47" s="89"/>
    </row>
    <row r="48" spans="2:14" ht="15.75">
      <c r="B48" s="89" t="s">
        <v>555</v>
      </c>
      <c r="C48" s="90"/>
      <c r="D48" s="90"/>
      <c r="N48" s="89"/>
    </row>
    <row r="49" spans="2:15" ht="15.75">
      <c r="B49" s="89" t="s">
        <v>567</v>
      </c>
      <c r="C49" s="90"/>
      <c r="D49" s="90"/>
      <c r="E49" s="91"/>
      <c r="M49" s="92"/>
      <c r="N49" s="93"/>
      <c r="O49" s="92"/>
    </row>
    <row r="50" spans="1:14" s="85" customFormat="1" ht="15.75">
      <c r="A50" s="83"/>
      <c r="B50" s="89" t="s">
        <v>553</v>
      </c>
      <c r="C50" s="90"/>
      <c r="D50" s="90"/>
      <c r="E50" s="83"/>
      <c r="F50" s="83"/>
      <c r="G50" s="83"/>
      <c r="H50" s="83"/>
      <c r="I50" s="83"/>
      <c r="J50" s="83"/>
      <c r="K50" s="83"/>
      <c r="N50" s="86"/>
    </row>
    <row r="51" spans="2:15" s="85" customFormat="1" ht="15.75">
      <c r="B51" s="86" t="s">
        <v>537</v>
      </c>
      <c r="M51" s="83"/>
      <c r="N51" s="88"/>
      <c r="O51" s="83"/>
    </row>
    <row r="52" spans="1:14" ht="15.75">
      <c r="A52" s="85"/>
      <c r="B52" s="86" t="s">
        <v>538</v>
      </c>
      <c r="C52" s="87"/>
      <c r="D52" s="87"/>
      <c r="E52" s="85"/>
      <c r="F52" s="85"/>
      <c r="G52" s="85"/>
      <c r="H52" s="85"/>
      <c r="I52" s="85"/>
      <c r="J52" s="85"/>
      <c r="K52" s="85"/>
      <c r="N52" s="89"/>
    </row>
    <row r="53" spans="1:15" s="92" customFormat="1" ht="15.75">
      <c r="A53" s="83"/>
      <c r="B53" s="88" t="s">
        <v>539</v>
      </c>
      <c r="C53" s="84"/>
      <c r="D53" s="84"/>
      <c r="E53" s="83"/>
      <c r="F53" s="83"/>
      <c r="G53" s="83"/>
      <c r="H53" s="83"/>
      <c r="I53" s="83"/>
      <c r="J53" s="83"/>
      <c r="K53" s="83"/>
      <c r="M53" s="85"/>
      <c r="N53" s="86"/>
      <c r="O53" s="85"/>
    </row>
    <row r="54" spans="1:11" ht="15.75">
      <c r="A54" s="92"/>
      <c r="B54" s="88" t="s">
        <v>540</v>
      </c>
      <c r="C54" s="94"/>
      <c r="D54" s="94"/>
      <c r="E54" s="92"/>
      <c r="F54" s="92"/>
      <c r="G54" s="92"/>
      <c r="H54" s="92"/>
      <c r="I54" s="92"/>
      <c r="J54" s="92"/>
      <c r="K54" s="92"/>
    </row>
    <row r="55" spans="1:15" s="85" customFormat="1" ht="15.75">
      <c r="A55" s="83"/>
      <c r="B55" s="88" t="s">
        <v>541</v>
      </c>
      <c r="C55" s="83"/>
      <c r="D55" s="83"/>
      <c r="E55" s="83"/>
      <c r="F55" s="83"/>
      <c r="G55" s="83"/>
      <c r="H55" s="83"/>
      <c r="I55" s="83"/>
      <c r="J55" s="83"/>
      <c r="K55" s="83"/>
      <c r="M55" s="83"/>
      <c r="N55" s="88"/>
      <c r="O55" s="83"/>
    </row>
    <row r="56" spans="1:14" ht="15.75">
      <c r="A56" s="85"/>
      <c r="B56" s="86" t="s">
        <v>542</v>
      </c>
      <c r="C56" s="85"/>
      <c r="D56" s="85"/>
      <c r="E56" s="85"/>
      <c r="F56" s="85"/>
      <c r="G56" s="85"/>
      <c r="H56" s="85"/>
      <c r="I56" s="85"/>
      <c r="J56" s="85"/>
      <c r="K56" s="85"/>
      <c r="N56" s="95"/>
    </row>
    <row r="57" spans="2:15" ht="15.75">
      <c r="B57" s="88" t="s">
        <v>544</v>
      </c>
      <c r="M57" s="85"/>
      <c r="N57" s="86"/>
      <c r="O57" s="85"/>
    </row>
    <row r="58" spans="1:15" s="85" customFormat="1" ht="15.75">
      <c r="A58" s="83"/>
      <c r="B58" s="95" t="s">
        <v>297</v>
      </c>
      <c r="C58" s="83"/>
      <c r="D58" s="83"/>
      <c r="E58" s="83"/>
      <c r="F58" s="83"/>
      <c r="G58" s="83"/>
      <c r="H58" s="83"/>
      <c r="I58" s="83"/>
      <c r="J58" s="83"/>
      <c r="K58" s="83"/>
      <c r="M58" s="83"/>
      <c r="N58" s="88"/>
      <c r="O58" s="83"/>
    </row>
    <row r="59" spans="1:14" ht="15.75">
      <c r="A59" s="85"/>
      <c r="B59" s="86" t="s">
        <v>543</v>
      </c>
      <c r="C59" s="85"/>
      <c r="D59" s="85"/>
      <c r="E59" s="85"/>
      <c r="F59" s="85"/>
      <c r="G59" s="85"/>
      <c r="H59" s="85"/>
      <c r="I59" s="85"/>
      <c r="J59" s="85"/>
      <c r="K59" s="85"/>
      <c r="N59" s="88"/>
    </row>
    <row r="60" spans="2:14" ht="15.75">
      <c r="B60" s="88" t="s">
        <v>298</v>
      </c>
      <c r="N60" s="88"/>
    </row>
    <row r="61" spans="2:15" ht="15.75">
      <c r="B61" s="88" t="s">
        <v>545</v>
      </c>
      <c r="M61" s="85"/>
      <c r="N61" s="86"/>
      <c r="O61" s="85"/>
    </row>
    <row r="62" spans="1:15" s="85" customFormat="1" ht="15.75">
      <c r="A62" s="83"/>
      <c r="B62" s="88" t="s">
        <v>299</v>
      </c>
      <c r="C62" s="83"/>
      <c r="D62" s="83"/>
      <c r="E62" s="83"/>
      <c r="F62" s="83"/>
      <c r="G62" s="83"/>
      <c r="H62" s="83"/>
      <c r="I62" s="83"/>
      <c r="J62" s="83"/>
      <c r="K62" s="83"/>
      <c r="M62" s="83"/>
      <c r="N62" s="96"/>
      <c r="O62" s="83"/>
    </row>
    <row r="63" spans="1:11" ht="15.75">
      <c r="A63" s="85"/>
      <c r="B63" s="86" t="s">
        <v>546</v>
      </c>
      <c r="C63" s="85"/>
      <c r="D63" s="85"/>
      <c r="E63" s="85"/>
      <c r="F63" s="85"/>
      <c r="G63" s="85"/>
      <c r="H63" s="85"/>
      <c r="I63" s="85"/>
      <c r="J63" s="85"/>
      <c r="K63" s="85"/>
    </row>
    <row r="64" ht="15.75">
      <c r="B64" s="88" t="s">
        <v>547</v>
      </c>
    </row>
    <row r="65" ht="15.75">
      <c r="B65" s="88" t="s">
        <v>548</v>
      </c>
    </row>
    <row r="66" ht="15.75">
      <c r="B66" s="88" t="s">
        <v>549</v>
      </c>
    </row>
    <row r="67" ht="15.75">
      <c r="B67" s="93" t="s">
        <v>564</v>
      </c>
    </row>
    <row r="68" ht="15.75">
      <c r="B68" s="167" t="s">
        <v>565</v>
      </c>
    </row>
    <row r="69" ht="15.75">
      <c r="B69" s="167" t="s">
        <v>556</v>
      </c>
    </row>
    <row r="70" ht="15.75">
      <c r="B70" s="180" t="s">
        <v>563</v>
      </c>
    </row>
    <row r="71" ht="15.75">
      <c r="B71" s="83"/>
    </row>
  </sheetData>
  <sheetProtection password="CCF7" sheet="1"/>
  <mergeCells count="5">
    <mergeCell ref="C2:D2"/>
    <mergeCell ref="E2:H2"/>
    <mergeCell ref="B2:B3"/>
    <mergeCell ref="N2:N3"/>
    <mergeCell ref="M2:M3"/>
  </mergeCells>
  <printOptions horizontalCentered="1"/>
  <pageMargins left="0.5118110236220472" right="0.1968503937007874" top="0.5905511811023623" bottom="0" header="0.15748031496062992" footer="0"/>
  <pageSetup fitToHeight="1" fitToWidth="1" horizontalDpi="600" verticalDpi="600" orientation="portrait" paperSize="9" scale="46" r:id="rId1"/>
  <headerFooter alignWithMargins="0">
    <oddHeader>&amp;L
&amp;"標楷體,標準"&amp;11單位：元&amp;C&amp;"標楷體,標準"&amp;13&amp;A&amp;R&amp;"Times New Roman,標準"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zoomScalePageLayoutView="0" workbookViewId="0" topLeftCell="A1">
      <pane xSplit="3" ySplit="5" topLeftCell="D6" activePane="bottomRight" state="frozen"/>
      <selection pane="topLeft" activeCell="B1" sqref="B1"/>
      <selection pane="topRight" activeCell="D1" sqref="D1"/>
      <selection pane="bottomLeft" activeCell="B5" sqref="B5"/>
      <selection pane="bottomRight" activeCell="B1" sqref="B1"/>
    </sheetView>
  </sheetViews>
  <sheetFormatPr defaultColWidth="12.75390625" defaultRowHeight="16.5"/>
  <cols>
    <col min="1" max="1" width="12.75390625" style="83" hidden="1" customWidth="1"/>
    <col min="2" max="2" width="14.25390625" style="84" customWidth="1"/>
    <col min="3" max="6" width="12.75390625" style="83" customWidth="1"/>
    <col min="7" max="7" width="12.75390625" style="159" customWidth="1"/>
    <col min="8" max="8" width="13.75390625" style="83" customWidth="1"/>
    <col min="9" max="9" width="14.375" style="83" customWidth="1"/>
    <col min="10" max="16384" width="12.75390625" style="83" customWidth="1"/>
  </cols>
  <sheetData>
    <row r="1" spans="2:9" s="141" customFormat="1" ht="26.25" customHeight="1">
      <c r="B1" s="108"/>
      <c r="C1" s="142" t="s">
        <v>353</v>
      </c>
      <c r="D1" s="143"/>
      <c r="E1" s="143"/>
      <c r="F1" s="143"/>
      <c r="G1" s="143"/>
      <c r="H1" s="108"/>
      <c r="I1" s="108"/>
    </row>
    <row r="2" spans="2:9" s="141" customFormat="1" ht="16.5">
      <c r="B2" s="206"/>
      <c r="C2" s="250" t="s">
        <v>573</v>
      </c>
      <c r="D2" s="251"/>
      <c r="E2" s="251"/>
      <c r="F2" s="251"/>
      <c r="G2" s="251"/>
      <c r="H2" s="251"/>
      <c r="I2" s="207"/>
    </row>
    <row r="3" spans="2:9" s="141" customFormat="1" ht="16.5" customHeight="1" thickBot="1">
      <c r="B3" s="144"/>
      <c r="C3" s="248" t="s">
        <v>574</v>
      </c>
      <c r="D3" s="249"/>
      <c r="E3" s="249"/>
      <c r="F3" s="249"/>
      <c r="G3" s="249"/>
      <c r="H3" s="249"/>
      <c r="I3" s="145" t="s">
        <v>349</v>
      </c>
    </row>
    <row r="4" spans="2:9" s="141" customFormat="1" ht="23.25" customHeight="1">
      <c r="B4" s="240" t="s">
        <v>354</v>
      </c>
      <c r="C4" s="146"/>
      <c r="D4" s="242" t="s">
        <v>350</v>
      </c>
      <c r="E4" s="243"/>
      <c r="F4" s="243"/>
      <c r="G4" s="230"/>
      <c r="H4" s="244" t="s">
        <v>355</v>
      </c>
      <c r="I4" s="246" t="s">
        <v>356</v>
      </c>
    </row>
    <row r="5" spans="1:9" s="90" customFormat="1" ht="38.25" customHeight="1">
      <c r="A5" s="147"/>
      <c r="B5" s="241"/>
      <c r="C5" s="153" t="s">
        <v>351</v>
      </c>
      <c r="D5" s="192" t="s">
        <v>357</v>
      </c>
      <c r="E5" s="157" t="s">
        <v>358</v>
      </c>
      <c r="F5" s="156" t="s">
        <v>359</v>
      </c>
      <c r="G5" s="156" t="s">
        <v>360</v>
      </c>
      <c r="H5" s="245"/>
      <c r="I5" s="247"/>
    </row>
    <row r="6" spans="1:9" s="141" customFormat="1" ht="19.5" customHeight="1">
      <c r="A6" s="149">
        <v>1</v>
      </c>
      <c r="B6" s="150">
        <v>1</v>
      </c>
      <c r="C6" s="151">
        <v>27470</v>
      </c>
      <c r="D6" s="152">
        <v>426</v>
      </c>
      <c r="E6" s="153">
        <v>852</v>
      </c>
      <c r="F6" s="153">
        <v>1278</v>
      </c>
      <c r="G6" s="153">
        <v>1704</v>
      </c>
      <c r="H6" s="154">
        <v>1329</v>
      </c>
      <c r="I6" s="155">
        <v>222</v>
      </c>
    </row>
    <row r="7" spans="1:9" s="141" customFormat="1" ht="19.5" customHeight="1">
      <c r="A7" s="149">
        <f aca="true" t="shared" si="0" ref="A7:A52">C6+1</f>
        <v>27471</v>
      </c>
      <c r="B7" s="150">
        <v>2</v>
      </c>
      <c r="C7" s="151">
        <v>27600</v>
      </c>
      <c r="D7" s="152">
        <v>428</v>
      </c>
      <c r="E7" s="153">
        <v>856</v>
      </c>
      <c r="F7" s="153">
        <v>1284</v>
      </c>
      <c r="G7" s="152">
        <v>1712</v>
      </c>
      <c r="H7" s="154">
        <v>1336</v>
      </c>
      <c r="I7" s="155">
        <v>223</v>
      </c>
    </row>
    <row r="8" spans="1:9" s="141" customFormat="1" ht="19.5" customHeight="1">
      <c r="A8" s="149">
        <f t="shared" si="0"/>
        <v>27601</v>
      </c>
      <c r="B8" s="193">
        <v>3</v>
      </c>
      <c r="C8" s="194">
        <v>28800</v>
      </c>
      <c r="D8" s="195">
        <v>447</v>
      </c>
      <c r="E8" s="148">
        <v>894</v>
      </c>
      <c r="F8" s="148">
        <v>1341</v>
      </c>
      <c r="G8" s="195">
        <v>1788</v>
      </c>
      <c r="H8" s="196">
        <v>1394</v>
      </c>
      <c r="I8" s="197">
        <v>232</v>
      </c>
    </row>
    <row r="9" spans="1:9" s="141" customFormat="1" ht="19.5" customHeight="1">
      <c r="A9" s="149">
        <f t="shared" si="0"/>
        <v>28801</v>
      </c>
      <c r="B9" s="150">
        <v>4</v>
      </c>
      <c r="C9" s="151">
        <v>30300</v>
      </c>
      <c r="D9" s="152">
        <v>470</v>
      </c>
      <c r="E9" s="153">
        <v>940</v>
      </c>
      <c r="F9" s="153">
        <v>1410</v>
      </c>
      <c r="G9" s="152">
        <v>1880</v>
      </c>
      <c r="H9" s="154">
        <v>1466</v>
      </c>
      <c r="I9" s="155">
        <v>244</v>
      </c>
    </row>
    <row r="10" spans="1:9" s="141" customFormat="1" ht="19.5" customHeight="1">
      <c r="A10" s="149">
        <f t="shared" si="0"/>
        <v>30301</v>
      </c>
      <c r="B10" s="150">
        <v>5</v>
      </c>
      <c r="C10" s="151">
        <v>31800</v>
      </c>
      <c r="D10" s="152">
        <v>493</v>
      </c>
      <c r="E10" s="153">
        <v>986</v>
      </c>
      <c r="F10" s="153">
        <v>1479</v>
      </c>
      <c r="G10" s="152">
        <v>1972</v>
      </c>
      <c r="H10" s="154">
        <v>1539</v>
      </c>
      <c r="I10" s="155">
        <v>256</v>
      </c>
    </row>
    <row r="11" spans="1:9" s="141" customFormat="1" ht="19.5" customHeight="1">
      <c r="A11" s="149">
        <f t="shared" si="0"/>
        <v>31801</v>
      </c>
      <c r="B11" s="150">
        <v>6</v>
      </c>
      <c r="C11" s="151">
        <v>33300</v>
      </c>
      <c r="D11" s="152">
        <v>516</v>
      </c>
      <c r="E11" s="153">
        <v>1032</v>
      </c>
      <c r="F11" s="153">
        <v>1548</v>
      </c>
      <c r="G11" s="153">
        <v>2064</v>
      </c>
      <c r="H11" s="154">
        <v>1611</v>
      </c>
      <c r="I11" s="155">
        <v>269</v>
      </c>
    </row>
    <row r="12" spans="1:9" s="141" customFormat="1" ht="19.5" customHeight="1">
      <c r="A12" s="149">
        <f t="shared" si="0"/>
        <v>33301</v>
      </c>
      <c r="B12" s="150">
        <v>7</v>
      </c>
      <c r="C12" s="151">
        <v>34800</v>
      </c>
      <c r="D12" s="152">
        <v>540</v>
      </c>
      <c r="E12" s="153">
        <v>1080</v>
      </c>
      <c r="F12" s="153">
        <v>1620</v>
      </c>
      <c r="G12" s="152">
        <v>2160</v>
      </c>
      <c r="H12" s="154">
        <v>1684</v>
      </c>
      <c r="I12" s="155">
        <v>281</v>
      </c>
    </row>
    <row r="13" spans="1:9" s="141" customFormat="1" ht="19.5" customHeight="1">
      <c r="A13" s="149">
        <f t="shared" si="0"/>
        <v>34801</v>
      </c>
      <c r="B13" s="193">
        <v>8</v>
      </c>
      <c r="C13" s="194">
        <v>36300</v>
      </c>
      <c r="D13" s="195">
        <v>563</v>
      </c>
      <c r="E13" s="148">
        <v>1126</v>
      </c>
      <c r="F13" s="148">
        <v>1689</v>
      </c>
      <c r="G13" s="195">
        <v>2252</v>
      </c>
      <c r="H13" s="196">
        <v>1757</v>
      </c>
      <c r="I13" s="197">
        <v>293</v>
      </c>
    </row>
    <row r="14" spans="1:9" s="141" customFormat="1" ht="19.5" customHeight="1">
      <c r="A14" s="149">
        <f t="shared" si="0"/>
        <v>36301</v>
      </c>
      <c r="B14" s="150">
        <v>9</v>
      </c>
      <c r="C14" s="151">
        <v>38200</v>
      </c>
      <c r="D14" s="152">
        <v>592</v>
      </c>
      <c r="E14" s="153">
        <v>1184</v>
      </c>
      <c r="F14" s="153">
        <v>1776</v>
      </c>
      <c r="G14" s="152">
        <v>2368</v>
      </c>
      <c r="H14" s="154">
        <v>1849</v>
      </c>
      <c r="I14" s="155">
        <v>308</v>
      </c>
    </row>
    <row r="15" spans="1:9" s="141" customFormat="1" ht="19.5" customHeight="1">
      <c r="A15" s="149">
        <f t="shared" si="0"/>
        <v>38201</v>
      </c>
      <c r="B15" s="150">
        <v>10</v>
      </c>
      <c r="C15" s="151">
        <v>40100</v>
      </c>
      <c r="D15" s="152">
        <v>622</v>
      </c>
      <c r="E15" s="153">
        <v>1244</v>
      </c>
      <c r="F15" s="153">
        <v>1866</v>
      </c>
      <c r="G15" s="152">
        <v>2488</v>
      </c>
      <c r="H15" s="154">
        <v>1940</v>
      </c>
      <c r="I15" s="155">
        <v>323</v>
      </c>
    </row>
    <row r="16" spans="1:9" s="141" customFormat="1" ht="19.5" customHeight="1">
      <c r="A16" s="149">
        <f t="shared" si="0"/>
        <v>40101</v>
      </c>
      <c r="B16" s="150">
        <v>11</v>
      </c>
      <c r="C16" s="151">
        <v>42000</v>
      </c>
      <c r="D16" s="152">
        <v>651</v>
      </c>
      <c r="E16" s="153">
        <v>1302</v>
      </c>
      <c r="F16" s="153">
        <v>1953</v>
      </c>
      <c r="G16" s="153">
        <v>2604</v>
      </c>
      <c r="H16" s="154">
        <v>2032</v>
      </c>
      <c r="I16" s="155">
        <v>339</v>
      </c>
    </row>
    <row r="17" spans="1:9" s="141" customFormat="1" ht="19.5" customHeight="1">
      <c r="A17" s="149">
        <f t="shared" si="0"/>
        <v>42001</v>
      </c>
      <c r="B17" s="150">
        <v>12</v>
      </c>
      <c r="C17" s="151">
        <v>43900</v>
      </c>
      <c r="D17" s="152">
        <v>681</v>
      </c>
      <c r="E17" s="153">
        <v>1362</v>
      </c>
      <c r="F17" s="153">
        <v>2043</v>
      </c>
      <c r="G17" s="152">
        <v>2724</v>
      </c>
      <c r="H17" s="154">
        <v>2124</v>
      </c>
      <c r="I17" s="155">
        <v>354</v>
      </c>
    </row>
    <row r="18" spans="1:9" s="141" customFormat="1" ht="19.5" customHeight="1">
      <c r="A18" s="149">
        <f t="shared" si="0"/>
        <v>43901</v>
      </c>
      <c r="B18" s="193">
        <v>13</v>
      </c>
      <c r="C18" s="194">
        <v>45800</v>
      </c>
      <c r="D18" s="195">
        <v>710</v>
      </c>
      <c r="E18" s="148">
        <v>1420</v>
      </c>
      <c r="F18" s="148">
        <v>2130</v>
      </c>
      <c r="G18" s="195">
        <v>2840</v>
      </c>
      <c r="H18" s="196">
        <v>2216</v>
      </c>
      <c r="I18" s="197">
        <v>369</v>
      </c>
    </row>
    <row r="19" spans="1:9" s="141" customFormat="1" ht="19.5" customHeight="1">
      <c r="A19" s="149">
        <f t="shared" si="0"/>
        <v>45801</v>
      </c>
      <c r="B19" s="150">
        <v>14</v>
      </c>
      <c r="C19" s="151">
        <v>48200</v>
      </c>
      <c r="D19" s="152">
        <v>748</v>
      </c>
      <c r="E19" s="153">
        <v>1496</v>
      </c>
      <c r="F19" s="153">
        <v>2244</v>
      </c>
      <c r="G19" s="152">
        <v>2992</v>
      </c>
      <c r="H19" s="154">
        <v>2332</v>
      </c>
      <c r="I19" s="155">
        <v>389</v>
      </c>
    </row>
    <row r="20" spans="1:9" s="141" customFormat="1" ht="19.5" customHeight="1">
      <c r="A20" s="149">
        <f t="shared" si="0"/>
        <v>48201</v>
      </c>
      <c r="B20" s="150">
        <v>15</v>
      </c>
      <c r="C20" s="151">
        <v>50600</v>
      </c>
      <c r="D20" s="152">
        <v>785</v>
      </c>
      <c r="E20" s="153">
        <v>1570</v>
      </c>
      <c r="F20" s="153">
        <v>2355</v>
      </c>
      <c r="G20" s="152">
        <v>3140</v>
      </c>
      <c r="H20" s="154">
        <v>2449</v>
      </c>
      <c r="I20" s="155">
        <v>408</v>
      </c>
    </row>
    <row r="21" spans="1:9" s="141" customFormat="1" ht="19.5" customHeight="1">
      <c r="A21" s="149">
        <f t="shared" si="0"/>
        <v>50601</v>
      </c>
      <c r="B21" s="150">
        <v>16</v>
      </c>
      <c r="C21" s="151">
        <v>53000</v>
      </c>
      <c r="D21" s="152">
        <v>822</v>
      </c>
      <c r="E21" s="153">
        <v>1644</v>
      </c>
      <c r="F21" s="153">
        <v>2466</v>
      </c>
      <c r="G21" s="153">
        <v>3288</v>
      </c>
      <c r="H21" s="154">
        <v>2565</v>
      </c>
      <c r="I21" s="155">
        <v>427</v>
      </c>
    </row>
    <row r="22" spans="1:9" s="141" customFormat="1" ht="19.5" customHeight="1">
      <c r="A22" s="149">
        <f t="shared" si="0"/>
        <v>53001</v>
      </c>
      <c r="B22" s="150">
        <v>17</v>
      </c>
      <c r="C22" s="151">
        <v>55400</v>
      </c>
      <c r="D22" s="152">
        <v>859</v>
      </c>
      <c r="E22" s="153">
        <v>1718</v>
      </c>
      <c r="F22" s="153">
        <v>2577</v>
      </c>
      <c r="G22" s="152">
        <v>3436</v>
      </c>
      <c r="H22" s="154">
        <v>2681</v>
      </c>
      <c r="I22" s="155">
        <v>447</v>
      </c>
    </row>
    <row r="23" spans="1:9" s="141" customFormat="1" ht="19.5" customHeight="1">
      <c r="A23" s="149">
        <f t="shared" si="0"/>
        <v>55401</v>
      </c>
      <c r="B23" s="193">
        <v>18</v>
      </c>
      <c r="C23" s="194">
        <v>57800</v>
      </c>
      <c r="D23" s="195">
        <v>896</v>
      </c>
      <c r="E23" s="148">
        <v>1792</v>
      </c>
      <c r="F23" s="148">
        <v>2688</v>
      </c>
      <c r="G23" s="195">
        <v>3584</v>
      </c>
      <c r="H23" s="196">
        <v>2797</v>
      </c>
      <c r="I23" s="197">
        <v>466</v>
      </c>
    </row>
    <row r="24" spans="1:9" s="141" customFormat="1" ht="19.5" customHeight="1">
      <c r="A24" s="149">
        <f t="shared" si="0"/>
        <v>57801</v>
      </c>
      <c r="B24" s="150">
        <v>19</v>
      </c>
      <c r="C24" s="151">
        <v>60800</v>
      </c>
      <c r="D24" s="152">
        <v>943</v>
      </c>
      <c r="E24" s="153">
        <v>1886</v>
      </c>
      <c r="F24" s="153">
        <v>2829</v>
      </c>
      <c r="G24" s="152">
        <v>3772</v>
      </c>
      <c r="H24" s="154">
        <v>2942</v>
      </c>
      <c r="I24" s="155">
        <v>490</v>
      </c>
    </row>
    <row r="25" spans="1:9" s="141" customFormat="1" ht="19.5" customHeight="1">
      <c r="A25" s="149">
        <f t="shared" si="0"/>
        <v>60801</v>
      </c>
      <c r="B25" s="150">
        <v>20</v>
      </c>
      <c r="C25" s="151">
        <v>63800</v>
      </c>
      <c r="D25" s="152">
        <v>990</v>
      </c>
      <c r="E25" s="153">
        <v>1980</v>
      </c>
      <c r="F25" s="153">
        <v>2970</v>
      </c>
      <c r="G25" s="152">
        <v>3960</v>
      </c>
      <c r="H25" s="154">
        <v>3087</v>
      </c>
      <c r="I25" s="155">
        <v>515</v>
      </c>
    </row>
    <row r="26" spans="1:9" s="141" customFormat="1" ht="19.5" customHeight="1">
      <c r="A26" s="149">
        <f t="shared" si="0"/>
        <v>63801</v>
      </c>
      <c r="B26" s="150">
        <v>21</v>
      </c>
      <c r="C26" s="151">
        <v>66800</v>
      </c>
      <c r="D26" s="152">
        <v>1036</v>
      </c>
      <c r="E26" s="153">
        <v>2072</v>
      </c>
      <c r="F26" s="153">
        <v>3108</v>
      </c>
      <c r="G26" s="153">
        <v>4144</v>
      </c>
      <c r="H26" s="154">
        <v>3233</v>
      </c>
      <c r="I26" s="155">
        <v>539</v>
      </c>
    </row>
    <row r="27" spans="1:9" s="141" customFormat="1" ht="19.5" customHeight="1">
      <c r="A27" s="149">
        <f t="shared" si="0"/>
        <v>66801</v>
      </c>
      <c r="B27" s="150">
        <v>22</v>
      </c>
      <c r="C27" s="151">
        <v>69800</v>
      </c>
      <c r="D27" s="152">
        <v>1083</v>
      </c>
      <c r="E27" s="153">
        <v>2166</v>
      </c>
      <c r="F27" s="153">
        <v>3249</v>
      </c>
      <c r="G27" s="152">
        <v>4332</v>
      </c>
      <c r="H27" s="154">
        <v>3378</v>
      </c>
      <c r="I27" s="155">
        <v>563</v>
      </c>
    </row>
    <row r="28" spans="1:9" s="141" customFormat="1" ht="19.5" customHeight="1">
      <c r="A28" s="149">
        <f t="shared" si="0"/>
        <v>69801</v>
      </c>
      <c r="B28" s="193">
        <v>23</v>
      </c>
      <c r="C28" s="194">
        <v>72800</v>
      </c>
      <c r="D28" s="195">
        <v>1129</v>
      </c>
      <c r="E28" s="148">
        <v>2258</v>
      </c>
      <c r="F28" s="148">
        <v>3387</v>
      </c>
      <c r="G28" s="195">
        <v>4516</v>
      </c>
      <c r="H28" s="196">
        <v>3523</v>
      </c>
      <c r="I28" s="197">
        <v>587</v>
      </c>
    </row>
    <row r="29" spans="1:9" s="141" customFormat="1" ht="19.5" customHeight="1">
      <c r="A29" s="149">
        <f t="shared" si="0"/>
        <v>72801</v>
      </c>
      <c r="B29" s="150">
        <v>24</v>
      </c>
      <c r="C29" s="151">
        <v>76500</v>
      </c>
      <c r="D29" s="152">
        <v>1187</v>
      </c>
      <c r="E29" s="153">
        <v>2374</v>
      </c>
      <c r="F29" s="153">
        <v>3561</v>
      </c>
      <c r="G29" s="152">
        <v>4748</v>
      </c>
      <c r="H29" s="154">
        <v>3702</v>
      </c>
      <c r="I29" s="155">
        <v>617</v>
      </c>
    </row>
    <row r="30" spans="1:9" s="141" customFormat="1" ht="19.5" customHeight="1">
      <c r="A30" s="149">
        <f t="shared" si="0"/>
        <v>76501</v>
      </c>
      <c r="B30" s="150">
        <v>25</v>
      </c>
      <c r="C30" s="151">
        <v>80200</v>
      </c>
      <c r="D30" s="152">
        <v>1244</v>
      </c>
      <c r="E30" s="153">
        <v>2488</v>
      </c>
      <c r="F30" s="153">
        <v>3732</v>
      </c>
      <c r="G30" s="152">
        <v>4976</v>
      </c>
      <c r="H30" s="154">
        <v>3881</v>
      </c>
      <c r="I30" s="155">
        <v>647</v>
      </c>
    </row>
    <row r="31" spans="1:9" s="141" customFormat="1" ht="19.5" customHeight="1">
      <c r="A31" s="149">
        <f t="shared" si="0"/>
        <v>80201</v>
      </c>
      <c r="B31" s="150">
        <v>26</v>
      </c>
      <c r="C31" s="151">
        <v>83900</v>
      </c>
      <c r="D31" s="152">
        <v>1301</v>
      </c>
      <c r="E31" s="153">
        <v>2602</v>
      </c>
      <c r="F31" s="153">
        <v>3903</v>
      </c>
      <c r="G31" s="153">
        <v>5204</v>
      </c>
      <c r="H31" s="154">
        <v>4060</v>
      </c>
      <c r="I31" s="155">
        <v>677</v>
      </c>
    </row>
    <row r="32" spans="1:9" s="141" customFormat="1" ht="19.5" customHeight="1">
      <c r="A32" s="149">
        <f t="shared" si="0"/>
        <v>83901</v>
      </c>
      <c r="B32" s="193">
        <v>27</v>
      </c>
      <c r="C32" s="194">
        <v>87600</v>
      </c>
      <c r="D32" s="195">
        <v>1359</v>
      </c>
      <c r="E32" s="148">
        <v>2718</v>
      </c>
      <c r="F32" s="148">
        <v>4077</v>
      </c>
      <c r="G32" s="195">
        <v>5436</v>
      </c>
      <c r="H32" s="196">
        <v>4239</v>
      </c>
      <c r="I32" s="197">
        <v>707</v>
      </c>
    </row>
    <row r="33" spans="1:9" s="141" customFormat="1" ht="19.5" customHeight="1">
      <c r="A33" s="149">
        <f t="shared" si="0"/>
        <v>87601</v>
      </c>
      <c r="B33" s="150">
        <v>28</v>
      </c>
      <c r="C33" s="151">
        <v>92100</v>
      </c>
      <c r="D33" s="152">
        <v>1428</v>
      </c>
      <c r="E33" s="153">
        <v>2856</v>
      </c>
      <c r="F33" s="153">
        <v>4284</v>
      </c>
      <c r="G33" s="152">
        <v>5712</v>
      </c>
      <c r="H33" s="154">
        <v>4457</v>
      </c>
      <c r="I33" s="155">
        <v>743</v>
      </c>
    </row>
    <row r="34" spans="1:9" s="141" customFormat="1" ht="19.5" customHeight="1">
      <c r="A34" s="149">
        <f t="shared" si="0"/>
        <v>92101</v>
      </c>
      <c r="B34" s="150">
        <v>29</v>
      </c>
      <c r="C34" s="151">
        <v>96600</v>
      </c>
      <c r="D34" s="152">
        <v>1498</v>
      </c>
      <c r="E34" s="153">
        <v>2996</v>
      </c>
      <c r="F34" s="153">
        <v>4494</v>
      </c>
      <c r="G34" s="152">
        <v>5992</v>
      </c>
      <c r="H34" s="154">
        <v>4675</v>
      </c>
      <c r="I34" s="155">
        <v>779</v>
      </c>
    </row>
    <row r="35" spans="1:9" s="141" customFormat="1" ht="19.5" customHeight="1">
      <c r="A35" s="149">
        <f t="shared" si="0"/>
        <v>96601</v>
      </c>
      <c r="B35" s="150">
        <v>30</v>
      </c>
      <c r="C35" s="151">
        <v>101100</v>
      </c>
      <c r="D35" s="152">
        <v>1568</v>
      </c>
      <c r="E35" s="153">
        <v>3136</v>
      </c>
      <c r="F35" s="153">
        <v>4704</v>
      </c>
      <c r="G35" s="152">
        <v>6272</v>
      </c>
      <c r="H35" s="154">
        <v>4892</v>
      </c>
      <c r="I35" s="155">
        <v>815</v>
      </c>
    </row>
    <row r="36" spans="1:9" s="141" customFormat="1" ht="19.5" customHeight="1">
      <c r="A36" s="149">
        <f t="shared" si="0"/>
        <v>101101</v>
      </c>
      <c r="B36" s="150">
        <v>31</v>
      </c>
      <c r="C36" s="151">
        <v>105600</v>
      </c>
      <c r="D36" s="152">
        <v>1638</v>
      </c>
      <c r="E36" s="153">
        <v>3276</v>
      </c>
      <c r="F36" s="153">
        <v>4914</v>
      </c>
      <c r="G36" s="153">
        <v>6552</v>
      </c>
      <c r="H36" s="154">
        <v>5110</v>
      </c>
      <c r="I36" s="155">
        <v>852</v>
      </c>
    </row>
    <row r="37" spans="1:9" s="141" customFormat="1" ht="19.5" customHeight="1">
      <c r="A37" s="149">
        <f t="shared" si="0"/>
        <v>105601</v>
      </c>
      <c r="B37" s="193">
        <v>32</v>
      </c>
      <c r="C37" s="194">
        <v>110100</v>
      </c>
      <c r="D37" s="195">
        <v>1708</v>
      </c>
      <c r="E37" s="148">
        <v>3416</v>
      </c>
      <c r="F37" s="148">
        <v>5124</v>
      </c>
      <c r="G37" s="195">
        <v>6832</v>
      </c>
      <c r="H37" s="196">
        <v>5328</v>
      </c>
      <c r="I37" s="197">
        <v>888</v>
      </c>
    </row>
    <row r="38" spans="1:9" s="141" customFormat="1" ht="19.5" customHeight="1">
      <c r="A38" s="149">
        <f t="shared" si="0"/>
        <v>110101</v>
      </c>
      <c r="B38" s="150">
        <v>33</v>
      </c>
      <c r="C38" s="151">
        <v>115500</v>
      </c>
      <c r="D38" s="152">
        <v>1791</v>
      </c>
      <c r="E38" s="153">
        <v>3582</v>
      </c>
      <c r="F38" s="153">
        <v>5373</v>
      </c>
      <c r="G38" s="152">
        <v>7164</v>
      </c>
      <c r="H38" s="154">
        <v>5589</v>
      </c>
      <c r="I38" s="155">
        <v>932</v>
      </c>
    </row>
    <row r="39" spans="1:9" s="141" customFormat="1" ht="19.5" customHeight="1">
      <c r="A39" s="149">
        <f t="shared" si="0"/>
        <v>115501</v>
      </c>
      <c r="B39" s="150">
        <v>34</v>
      </c>
      <c r="C39" s="151">
        <v>120900</v>
      </c>
      <c r="D39" s="152">
        <v>1875</v>
      </c>
      <c r="E39" s="153">
        <v>3750</v>
      </c>
      <c r="F39" s="153">
        <v>5625</v>
      </c>
      <c r="G39" s="152">
        <v>7500</v>
      </c>
      <c r="H39" s="154">
        <v>5850</v>
      </c>
      <c r="I39" s="155">
        <v>975</v>
      </c>
    </row>
    <row r="40" spans="1:9" s="141" customFormat="1" ht="19.5" customHeight="1">
      <c r="A40" s="149">
        <f t="shared" si="0"/>
        <v>120901</v>
      </c>
      <c r="B40" s="150">
        <v>35</v>
      </c>
      <c r="C40" s="151">
        <v>126300</v>
      </c>
      <c r="D40" s="152">
        <v>1959</v>
      </c>
      <c r="E40" s="153">
        <v>3918</v>
      </c>
      <c r="F40" s="153">
        <v>5877</v>
      </c>
      <c r="G40" s="152">
        <v>7836</v>
      </c>
      <c r="H40" s="154">
        <v>6112</v>
      </c>
      <c r="I40" s="155">
        <v>1019</v>
      </c>
    </row>
    <row r="41" spans="1:9" s="141" customFormat="1" ht="19.5" customHeight="1">
      <c r="A41" s="149">
        <f t="shared" si="0"/>
        <v>126301</v>
      </c>
      <c r="B41" s="150">
        <v>36</v>
      </c>
      <c r="C41" s="151">
        <v>131700</v>
      </c>
      <c r="D41" s="152">
        <v>2043</v>
      </c>
      <c r="E41" s="153">
        <v>4086</v>
      </c>
      <c r="F41" s="153">
        <v>6129</v>
      </c>
      <c r="G41" s="153">
        <v>8172</v>
      </c>
      <c r="H41" s="154">
        <v>6373</v>
      </c>
      <c r="I41" s="155">
        <v>1062</v>
      </c>
    </row>
    <row r="42" spans="1:9" s="141" customFormat="1" ht="19.5" customHeight="1">
      <c r="A42" s="149">
        <f t="shared" si="0"/>
        <v>131701</v>
      </c>
      <c r="B42" s="150">
        <v>37</v>
      </c>
      <c r="C42" s="151">
        <v>137100</v>
      </c>
      <c r="D42" s="152">
        <v>2126</v>
      </c>
      <c r="E42" s="153">
        <v>4252</v>
      </c>
      <c r="F42" s="153">
        <v>6378</v>
      </c>
      <c r="G42" s="152">
        <v>8504</v>
      </c>
      <c r="H42" s="154">
        <v>6634</v>
      </c>
      <c r="I42" s="155">
        <v>1106</v>
      </c>
    </row>
    <row r="43" spans="1:9" s="141" customFormat="1" ht="19.5" customHeight="1">
      <c r="A43" s="149">
        <f t="shared" si="0"/>
        <v>137101</v>
      </c>
      <c r="B43" s="150">
        <v>38</v>
      </c>
      <c r="C43" s="151">
        <v>142500</v>
      </c>
      <c r="D43" s="152">
        <v>2210</v>
      </c>
      <c r="E43" s="153">
        <v>4420</v>
      </c>
      <c r="F43" s="153">
        <v>6630</v>
      </c>
      <c r="G43" s="152">
        <v>8840</v>
      </c>
      <c r="H43" s="154">
        <v>6896</v>
      </c>
      <c r="I43" s="155">
        <v>1149</v>
      </c>
    </row>
    <row r="44" spans="1:9" s="141" customFormat="1" ht="19.5" customHeight="1">
      <c r="A44" s="149">
        <f t="shared" si="0"/>
        <v>142501</v>
      </c>
      <c r="B44" s="150">
        <v>39</v>
      </c>
      <c r="C44" s="151">
        <v>147900</v>
      </c>
      <c r="D44" s="152">
        <v>2294</v>
      </c>
      <c r="E44" s="153">
        <v>4588</v>
      </c>
      <c r="F44" s="153">
        <v>6882</v>
      </c>
      <c r="G44" s="152">
        <v>9176</v>
      </c>
      <c r="H44" s="154">
        <v>7157</v>
      </c>
      <c r="I44" s="155">
        <v>1193</v>
      </c>
    </row>
    <row r="45" spans="1:9" s="141" customFormat="1" ht="19.5" customHeight="1">
      <c r="A45" s="149">
        <f t="shared" si="0"/>
        <v>147901</v>
      </c>
      <c r="B45" s="193">
        <v>40</v>
      </c>
      <c r="C45" s="194">
        <v>150000</v>
      </c>
      <c r="D45" s="195">
        <v>2327</v>
      </c>
      <c r="E45" s="148">
        <v>4654</v>
      </c>
      <c r="F45" s="148">
        <v>6981</v>
      </c>
      <c r="G45" s="195">
        <v>9308</v>
      </c>
      <c r="H45" s="196">
        <v>7259</v>
      </c>
      <c r="I45" s="197">
        <v>1210</v>
      </c>
    </row>
    <row r="46" spans="1:9" s="141" customFormat="1" ht="19.5" customHeight="1">
      <c r="A46" s="149">
        <f t="shared" si="0"/>
        <v>150001</v>
      </c>
      <c r="B46" s="150">
        <v>41</v>
      </c>
      <c r="C46" s="151">
        <v>156400</v>
      </c>
      <c r="D46" s="152">
        <v>2426</v>
      </c>
      <c r="E46" s="153">
        <v>4852</v>
      </c>
      <c r="F46" s="153">
        <v>7278</v>
      </c>
      <c r="G46" s="153">
        <v>9704</v>
      </c>
      <c r="H46" s="154">
        <v>7568</v>
      </c>
      <c r="I46" s="155">
        <v>1261</v>
      </c>
    </row>
    <row r="47" spans="1:9" s="141" customFormat="1" ht="19.5" customHeight="1">
      <c r="A47" s="149">
        <f t="shared" si="0"/>
        <v>156401</v>
      </c>
      <c r="B47" s="150">
        <v>42</v>
      </c>
      <c r="C47" s="151">
        <v>162800</v>
      </c>
      <c r="D47" s="152">
        <v>2525</v>
      </c>
      <c r="E47" s="153">
        <v>5050</v>
      </c>
      <c r="F47" s="153">
        <v>7575</v>
      </c>
      <c r="G47" s="152">
        <v>10100</v>
      </c>
      <c r="H47" s="154">
        <v>7878</v>
      </c>
      <c r="I47" s="155">
        <v>1313</v>
      </c>
    </row>
    <row r="48" spans="1:9" s="141" customFormat="1" ht="19.5" customHeight="1">
      <c r="A48" s="149">
        <f t="shared" si="0"/>
        <v>162801</v>
      </c>
      <c r="B48" s="150">
        <v>43</v>
      </c>
      <c r="C48" s="151">
        <v>169200</v>
      </c>
      <c r="D48" s="152">
        <v>2624</v>
      </c>
      <c r="E48" s="153">
        <v>5248</v>
      </c>
      <c r="F48" s="153">
        <v>7872</v>
      </c>
      <c r="G48" s="152">
        <v>10496</v>
      </c>
      <c r="H48" s="154">
        <v>8188</v>
      </c>
      <c r="I48" s="155">
        <v>1365</v>
      </c>
    </row>
    <row r="49" spans="1:9" s="141" customFormat="1" ht="19.5" customHeight="1">
      <c r="A49" s="149">
        <f t="shared" si="0"/>
        <v>169201</v>
      </c>
      <c r="B49" s="150">
        <v>44</v>
      </c>
      <c r="C49" s="151">
        <v>175600</v>
      </c>
      <c r="D49" s="152">
        <v>2724</v>
      </c>
      <c r="E49" s="153">
        <v>5448</v>
      </c>
      <c r="F49" s="153">
        <v>8172</v>
      </c>
      <c r="G49" s="152">
        <v>10896</v>
      </c>
      <c r="H49" s="154">
        <v>8497</v>
      </c>
      <c r="I49" s="155">
        <v>1416</v>
      </c>
    </row>
    <row r="50" spans="1:9" s="141" customFormat="1" ht="19.5" customHeight="1">
      <c r="A50" s="149">
        <f t="shared" si="0"/>
        <v>175601</v>
      </c>
      <c r="B50" s="193">
        <v>45</v>
      </c>
      <c r="C50" s="194">
        <v>182000</v>
      </c>
      <c r="D50" s="195">
        <v>2823</v>
      </c>
      <c r="E50" s="148">
        <v>5646</v>
      </c>
      <c r="F50" s="148">
        <v>8469</v>
      </c>
      <c r="G50" s="195">
        <v>11292</v>
      </c>
      <c r="H50" s="196">
        <v>8807</v>
      </c>
      <c r="I50" s="197">
        <v>1468</v>
      </c>
    </row>
    <row r="51" spans="1:9" s="141" customFormat="1" ht="19.5" customHeight="1">
      <c r="A51" s="149">
        <f t="shared" si="0"/>
        <v>182001</v>
      </c>
      <c r="B51" s="150">
        <v>46</v>
      </c>
      <c r="C51" s="151">
        <v>189500</v>
      </c>
      <c r="D51" s="152">
        <v>2939</v>
      </c>
      <c r="E51" s="153">
        <v>5878</v>
      </c>
      <c r="F51" s="153">
        <v>8817</v>
      </c>
      <c r="G51" s="153">
        <v>11756</v>
      </c>
      <c r="H51" s="154">
        <v>9170</v>
      </c>
      <c r="I51" s="155">
        <v>1528</v>
      </c>
    </row>
    <row r="52" spans="1:9" s="141" customFormat="1" ht="19.5" customHeight="1">
      <c r="A52" s="149">
        <f t="shared" si="0"/>
        <v>189501</v>
      </c>
      <c r="B52" s="150">
        <v>47</v>
      </c>
      <c r="C52" s="151">
        <v>197000</v>
      </c>
      <c r="D52" s="152">
        <v>3055</v>
      </c>
      <c r="E52" s="153">
        <v>6110</v>
      </c>
      <c r="F52" s="153">
        <v>9165</v>
      </c>
      <c r="G52" s="152">
        <v>12220</v>
      </c>
      <c r="H52" s="154">
        <v>9533</v>
      </c>
      <c r="I52" s="155">
        <v>1589</v>
      </c>
    </row>
    <row r="53" spans="1:9" s="141" customFormat="1" ht="19.5" customHeight="1">
      <c r="A53" s="149">
        <f>C52+1</f>
        <v>197001</v>
      </c>
      <c r="B53" s="150">
        <v>48</v>
      </c>
      <c r="C53" s="151">
        <v>204500</v>
      </c>
      <c r="D53" s="152">
        <v>3172</v>
      </c>
      <c r="E53" s="153">
        <v>6344</v>
      </c>
      <c r="F53" s="153">
        <v>9516</v>
      </c>
      <c r="G53" s="152">
        <v>12688</v>
      </c>
      <c r="H53" s="154">
        <v>9896</v>
      </c>
      <c r="I53" s="155">
        <v>1649</v>
      </c>
    </row>
    <row r="54" spans="1:9" s="141" customFormat="1" ht="19.5" customHeight="1">
      <c r="A54" s="149">
        <f>C53+1</f>
        <v>204501</v>
      </c>
      <c r="B54" s="150">
        <v>49</v>
      </c>
      <c r="C54" s="151">
        <v>212000</v>
      </c>
      <c r="D54" s="152">
        <v>3288</v>
      </c>
      <c r="E54" s="153">
        <v>6576</v>
      </c>
      <c r="F54" s="153">
        <v>9864</v>
      </c>
      <c r="G54" s="152">
        <v>13152</v>
      </c>
      <c r="H54" s="154">
        <v>10259</v>
      </c>
      <c r="I54" s="155">
        <v>1710</v>
      </c>
    </row>
    <row r="55" spans="1:9" s="141" customFormat="1" ht="19.5" customHeight="1">
      <c r="A55" s="149">
        <f>C54+1</f>
        <v>212001</v>
      </c>
      <c r="B55" s="150">
        <v>50</v>
      </c>
      <c r="C55" s="151">
        <v>219500</v>
      </c>
      <c r="D55" s="152">
        <v>3404</v>
      </c>
      <c r="E55" s="153">
        <v>6808</v>
      </c>
      <c r="F55" s="153">
        <v>10212</v>
      </c>
      <c r="G55" s="152">
        <v>13616</v>
      </c>
      <c r="H55" s="154">
        <v>10622</v>
      </c>
      <c r="I55" s="155">
        <v>1770</v>
      </c>
    </row>
    <row r="56" spans="1:9" s="141" customFormat="1" ht="19.5" customHeight="1">
      <c r="A56" s="149">
        <f>C55+1</f>
        <v>219501</v>
      </c>
      <c r="B56" s="150">
        <v>50</v>
      </c>
      <c r="C56" s="151">
        <v>219500</v>
      </c>
      <c r="D56" s="152">
        <v>3404</v>
      </c>
      <c r="E56" s="153">
        <v>6808</v>
      </c>
      <c r="F56" s="153">
        <v>10212</v>
      </c>
      <c r="G56" s="152">
        <v>13616</v>
      </c>
      <c r="H56" s="154">
        <v>10622</v>
      </c>
      <c r="I56" s="155">
        <v>1770</v>
      </c>
    </row>
    <row r="57" spans="1:9" s="187" customFormat="1" ht="19.5" customHeight="1" thickBot="1">
      <c r="A57" s="181"/>
      <c r="B57" s="182">
        <v>51</v>
      </c>
      <c r="C57" s="183">
        <v>219500</v>
      </c>
      <c r="D57" s="184">
        <f>+ROUND(C57*0.0517*0.3,0)</f>
        <v>3404</v>
      </c>
      <c r="E57" s="185">
        <f>D57*2</f>
        <v>6808</v>
      </c>
      <c r="F57" s="185">
        <f>D57*3</f>
        <v>10212</v>
      </c>
      <c r="G57" s="185">
        <f>D57*4</f>
        <v>13616</v>
      </c>
      <c r="H57" s="185">
        <f>+ROUND(C57*0.0517*0.6*1.58,0)</f>
        <v>10758</v>
      </c>
      <c r="I57" s="186">
        <f>+ROUND(C57*0.0517*0.1*1.58,0)</f>
        <v>1793</v>
      </c>
    </row>
    <row r="58" spans="2:7" s="90" customFormat="1" ht="16.5" customHeight="1">
      <c r="B58" s="158" t="s">
        <v>361</v>
      </c>
      <c r="G58" s="159"/>
    </row>
    <row r="59" spans="2:7" s="90" customFormat="1" ht="16.5" customHeight="1">
      <c r="B59" s="158" t="s">
        <v>517</v>
      </c>
      <c r="G59" s="160"/>
    </row>
    <row r="60" spans="2:7" s="90" customFormat="1" ht="16.5" customHeight="1">
      <c r="B60" s="158" t="s">
        <v>535</v>
      </c>
      <c r="G60" s="160"/>
    </row>
    <row r="61" spans="2:7" s="90" customFormat="1" ht="16.5" customHeight="1">
      <c r="B61" s="158" t="s">
        <v>518</v>
      </c>
      <c r="G61" s="160"/>
    </row>
    <row r="62" spans="2:7" s="90" customFormat="1" ht="16.5" customHeight="1">
      <c r="B62" s="158" t="s">
        <v>519</v>
      </c>
      <c r="G62" s="160"/>
    </row>
    <row r="63" spans="2:7" s="90" customFormat="1" ht="16.5" customHeight="1">
      <c r="B63" s="158" t="s">
        <v>362</v>
      </c>
      <c r="G63" s="160"/>
    </row>
    <row r="64" spans="2:7" s="90" customFormat="1" ht="16.5" customHeight="1">
      <c r="B64" s="158" t="s">
        <v>520</v>
      </c>
      <c r="G64" s="160"/>
    </row>
    <row r="65" spans="2:7" s="90" customFormat="1" ht="16.5" customHeight="1">
      <c r="B65" s="158" t="s">
        <v>521</v>
      </c>
      <c r="G65" s="160"/>
    </row>
    <row r="66" spans="2:7" s="90" customFormat="1" ht="16.5" customHeight="1">
      <c r="B66" s="158" t="s">
        <v>363</v>
      </c>
      <c r="G66" s="160"/>
    </row>
    <row r="67" spans="2:9" ht="15.75">
      <c r="B67" s="89" t="s">
        <v>364</v>
      </c>
      <c r="C67" s="90"/>
      <c r="D67" s="90"/>
      <c r="E67" s="90"/>
      <c r="F67" s="90"/>
      <c r="G67" s="160"/>
      <c r="H67" s="90"/>
      <c r="I67" s="90"/>
    </row>
    <row r="68" spans="2:9" ht="15.75">
      <c r="B68" s="89" t="s">
        <v>365</v>
      </c>
      <c r="C68" s="90"/>
      <c r="D68" s="90"/>
      <c r="E68" s="90"/>
      <c r="F68" s="90"/>
      <c r="G68" s="161"/>
      <c r="H68" s="90"/>
      <c r="I68" s="90"/>
    </row>
    <row r="69" spans="2:7" ht="15.75">
      <c r="B69" s="158" t="s">
        <v>522</v>
      </c>
      <c r="G69" s="161"/>
    </row>
    <row r="70" spans="2:7" ht="15.75">
      <c r="B70" s="158" t="s">
        <v>523</v>
      </c>
      <c r="G70" s="160"/>
    </row>
    <row r="71" spans="2:7" ht="15.75">
      <c r="B71" s="158" t="s">
        <v>352</v>
      </c>
      <c r="G71" s="160"/>
    </row>
    <row r="72" spans="2:7" ht="15.75">
      <c r="B72" s="89" t="s">
        <v>366</v>
      </c>
      <c r="G72" s="160"/>
    </row>
    <row r="73" spans="2:7" ht="15.75">
      <c r="B73" s="158" t="s">
        <v>524</v>
      </c>
      <c r="G73" s="160"/>
    </row>
    <row r="74" spans="2:7" ht="15.75">
      <c r="B74" s="158" t="s">
        <v>367</v>
      </c>
      <c r="G74" s="162"/>
    </row>
    <row r="75" spans="2:7" ht="15.75">
      <c r="B75" s="158" t="s">
        <v>534</v>
      </c>
      <c r="G75" s="162"/>
    </row>
    <row r="76" spans="2:7" ht="15.75">
      <c r="B76" s="89" t="s">
        <v>368</v>
      </c>
      <c r="G76" s="162"/>
    </row>
    <row r="77" spans="2:7" ht="15.75">
      <c r="B77" s="89" t="s">
        <v>369</v>
      </c>
      <c r="G77" s="160"/>
    </row>
    <row r="78" spans="2:7" s="85" customFormat="1" ht="15.75">
      <c r="B78" s="188" t="s">
        <v>533</v>
      </c>
      <c r="G78" s="163"/>
    </row>
    <row r="79" spans="2:7" s="85" customFormat="1" ht="15.75">
      <c r="B79" s="164" t="s">
        <v>370</v>
      </c>
      <c r="G79" s="165"/>
    </row>
    <row r="80" spans="2:7" s="85" customFormat="1" ht="15.75">
      <c r="B80" s="188" t="s">
        <v>525</v>
      </c>
      <c r="G80" s="165"/>
    </row>
    <row r="81" spans="2:7" s="85" customFormat="1" ht="15.75">
      <c r="B81" s="188" t="s">
        <v>526</v>
      </c>
      <c r="G81" s="166"/>
    </row>
    <row r="82" ht="15.75">
      <c r="B82" s="158" t="s">
        <v>527</v>
      </c>
    </row>
    <row r="83" spans="2:7" s="85" customFormat="1" ht="15.75">
      <c r="B83" s="188" t="s">
        <v>528</v>
      </c>
      <c r="G83" s="166"/>
    </row>
    <row r="84" ht="15.75">
      <c r="B84" s="158" t="s">
        <v>529</v>
      </c>
    </row>
    <row r="85" ht="15.75">
      <c r="B85" s="158" t="s">
        <v>536</v>
      </c>
    </row>
    <row r="86" ht="15.75">
      <c r="B86" s="158" t="s">
        <v>530</v>
      </c>
    </row>
    <row r="87" ht="15.75">
      <c r="B87" s="158" t="s">
        <v>516</v>
      </c>
    </row>
    <row r="88" ht="15.75">
      <c r="B88" s="204" t="s">
        <v>532</v>
      </c>
    </row>
    <row r="89" ht="15.75">
      <c r="B89" s="189" t="s">
        <v>569</v>
      </c>
    </row>
    <row r="90" ht="15.75">
      <c r="B90" s="190" t="s">
        <v>570</v>
      </c>
    </row>
    <row r="91" ht="15.75">
      <c r="B91" s="204" t="s">
        <v>551</v>
      </c>
    </row>
    <row r="92" ht="15.75">
      <c r="B92" s="189" t="s">
        <v>568</v>
      </c>
    </row>
  </sheetData>
  <sheetProtection password="CCF7" sheet="1"/>
  <mergeCells count="6">
    <mergeCell ref="B4:B5"/>
    <mergeCell ref="D4:G4"/>
    <mergeCell ref="H4:H5"/>
    <mergeCell ref="I4:I5"/>
    <mergeCell ref="C3:H3"/>
    <mergeCell ref="C2:H2"/>
  </mergeCells>
  <printOptions/>
  <pageMargins left="0.7086614173228347" right="0.7086614173228347" top="0.2" bottom="0.33" header="0.31496062992125984" footer="0.31496062992125984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zoomScalePageLayoutView="0" workbookViewId="0" topLeftCell="A1">
      <selection activeCell="A1" sqref="A1:H1"/>
    </sheetView>
  </sheetViews>
  <sheetFormatPr defaultColWidth="9.00390625" defaultRowHeight="16.5"/>
  <cols>
    <col min="1" max="1" width="12.125" style="167" customWidth="1"/>
    <col min="2" max="2" width="6.625" style="167" customWidth="1"/>
    <col min="3" max="3" width="21.125" style="167" customWidth="1"/>
    <col min="4" max="4" width="13.625" style="167" customWidth="1"/>
    <col min="5" max="5" width="12.125" style="167" customWidth="1"/>
    <col min="6" max="6" width="6.625" style="167" customWidth="1"/>
    <col min="7" max="7" width="23.50390625" style="167" bestFit="1" customWidth="1"/>
    <col min="8" max="8" width="13.625" style="167" customWidth="1"/>
    <col min="9" max="16384" width="9.00390625" style="167" customWidth="1"/>
  </cols>
  <sheetData>
    <row r="1" spans="1:9" ht="27">
      <c r="A1" s="252" t="s">
        <v>504</v>
      </c>
      <c r="B1" s="253"/>
      <c r="C1" s="253"/>
      <c r="D1" s="253"/>
      <c r="E1" s="253"/>
      <c r="F1" s="253"/>
      <c r="G1" s="253"/>
      <c r="H1" s="253"/>
      <c r="I1" s="180"/>
    </row>
    <row r="2" spans="1:8" ht="16.5">
      <c r="A2" s="254" t="s">
        <v>559</v>
      </c>
      <c r="B2" s="255"/>
      <c r="C2" s="255"/>
      <c r="D2" s="255"/>
      <c r="E2" s="255"/>
      <c r="F2" s="255"/>
      <c r="G2" s="255"/>
      <c r="H2" s="255"/>
    </row>
    <row r="3" spans="1:8" ht="33" customHeight="1">
      <c r="A3" s="168" t="s">
        <v>371</v>
      </c>
      <c r="B3" s="168" t="s">
        <v>372</v>
      </c>
      <c r="C3" s="168" t="s">
        <v>373</v>
      </c>
      <c r="D3" s="169" t="s">
        <v>505</v>
      </c>
      <c r="E3" s="170" t="s">
        <v>371</v>
      </c>
      <c r="F3" s="168" t="s">
        <v>372</v>
      </c>
      <c r="G3" s="168" t="s">
        <v>373</v>
      </c>
      <c r="H3" s="168" t="s">
        <v>505</v>
      </c>
    </row>
    <row r="4" spans="1:8" ht="24.75" customHeight="1">
      <c r="A4" s="168" t="s">
        <v>374</v>
      </c>
      <c r="B4" s="168">
        <v>1</v>
      </c>
      <c r="C4" s="168" t="s">
        <v>375</v>
      </c>
      <c r="D4" s="171" t="s">
        <v>376</v>
      </c>
      <c r="E4" s="170" t="s">
        <v>377</v>
      </c>
      <c r="F4" s="168">
        <v>36</v>
      </c>
      <c r="G4" s="168" t="s">
        <v>378</v>
      </c>
      <c r="H4" s="172" t="s">
        <v>379</v>
      </c>
    </row>
    <row r="5" spans="1:8" ht="24.75" customHeight="1">
      <c r="A5" s="168"/>
      <c r="B5" s="168">
        <v>2</v>
      </c>
      <c r="C5" s="168" t="s">
        <v>380</v>
      </c>
      <c r="D5" s="171" t="s">
        <v>381</v>
      </c>
      <c r="E5" s="170"/>
      <c r="F5" s="168">
        <v>37</v>
      </c>
      <c r="G5" s="168" t="s">
        <v>382</v>
      </c>
      <c r="H5" s="172" t="s">
        <v>383</v>
      </c>
    </row>
    <row r="6" spans="1:8" ht="24.75" customHeight="1">
      <c r="A6" s="168"/>
      <c r="B6" s="168">
        <v>3</v>
      </c>
      <c r="C6" s="168" t="s">
        <v>384</v>
      </c>
      <c r="D6" s="171" t="s">
        <v>385</v>
      </c>
      <c r="E6" s="170"/>
      <c r="F6" s="168">
        <v>38</v>
      </c>
      <c r="G6" s="168" t="s">
        <v>386</v>
      </c>
      <c r="H6" s="172" t="s">
        <v>387</v>
      </c>
    </row>
    <row r="7" spans="1:8" ht="24.75" customHeight="1">
      <c r="A7" s="168"/>
      <c r="B7" s="168">
        <v>4</v>
      </c>
      <c r="C7" s="168" t="s">
        <v>388</v>
      </c>
      <c r="D7" s="171" t="s">
        <v>389</v>
      </c>
      <c r="E7" s="170"/>
      <c r="F7" s="168">
        <v>39</v>
      </c>
      <c r="G7" s="168" t="s">
        <v>390</v>
      </c>
      <c r="H7" s="172" t="s">
        <v>391</v>
      </c>
    </row>
    <row r="8" spans="1:8" ht="24.75" customHeight="1">
      <c r="A8" s="168"/>
      <c r="B8" s="168">
        <v>5</v>
      </c>
      <c r="C8" s="168" t="s">
        <v>392</v>
      </c>
      <c r="D8" s="171" t="s">
        <v>393</v>
      </c>
      <c r="E8" s="170"/>
      <c r="F8" s="168">
        <v>40</v>
      </c>
      <c r="G8" s="168" t="s">
        <v>394</v>
      </c>
      <c r="H8" s="172" t="s">
        <v>395</v>
      </c>
    </row>
    <row r="9" spans="1:8" ht="24.75" customHeight="1">
      <c r="A9" s="168" t="s">
        <v>396</v>
      </c>
      <c r="B9" s="168">
        <v>6</v>
      </c>
      <c r="C9" s="168" t="s">
        <v>397</v>
      </c>
      <c r="D9" s="171" t="s">
        <v>398</v>
      </c>
      <c r="E9" s="170" t="s">
        <v>399</v>
      </c>
      <c r="F9" s="168">
        <v>41</v>
      </c>
      <c r="G9" s="168" t="s">
        <v>400</v>
      </c>
      <c r="H9" s="172" t="s">
        <v>401</v>
      </c>
    </row>
    <row r="10" spans="1:8" ht="24.75" customHeight="1">
      <c r="A10" s="168"/>
      <c r="B10" s="168">
        <v>7</v>
      </c>
      <c r="C10" s="168" t="s">
        <v>402</v>
      </c>
      <c r="D10" s="171" t="s">
        <v>403</v>
      </c>
      <c r="E10" s="170"/>
      <c r="F10" s="168">
        <v>42</v>
      </c>
      <c r="G10" s="168" t="s">
        <v>404</v>
      </c>
      <c r="H10" s="172" t="s">
        <v>405</v>
      </c>
    </row>
    <row r="11" spans="1:8" ht="24.75" customHeight="1">
      <c r="A11" s="168"/>
      <c r="B11" s="168">
        <v>8</v>
      </c>
      <c r="C11" s="168" t="s">
        <v>406</v>
      </c>
      <c r="D11" s="171" t="s">
        <v>407</v>
      </c>
      <c r="E11" s="170"/>
      <c r="F11" s="168">
        <v>43</v>
      </c>
      <c r="G11" s="168" t="s">
        <v>408</v>
      </c>
      <c r="H11" s="172" t="s">
        <v>409</v>
      </c>
    </row>
    <row r="12" spans="1:8" ht="24.75" customHeight="1">
      <c r="A12" s="168"/>
      <c r="B12" s="168">
        <v>9</v>
      </c>
      <c r="C12" s="168" t="s">
        <v>410</v>
      </c>
      <c r="D12" s="171" t="s">
        <v>411</v>
      </c>
      <c r="E12" s="170"/>
      <c r="F12" s="168">
        <v>44</v>
      </c>
      <c r="G12" s="168" t="s">
        <v>412</v>
      </c>
      <c r="H12" s="172" t="s">
        <v>413</v>
      </c>
    </row>
    <row r="13" spans="1:8" ht="24.75" customHeight="1">
      <c r="A13" s="168"/>
      <c r="B13" s="168">
        <v>10</v>
      </c>
      <c r="C13" s="168" t="s">
        <v>414</v>
      </c>
      <c r="D13" s="171" t="s">
        <v>415</v>
      </c>
      <c r="E13" s="170"/>
      <c r="F13" s="168">
        <v>45</v>
      </c>
      <c r="G13" s="168" t="s">
        <v>416</v>
      </c>
      <c r="H13" s="172" t="s">
        <v>417</v>
      </c>
    </row>
    <row r="14" spans="1:8" ht="24.75" customHeight="1">
      <c r="A14" s="168" t="s">
        <v>418</v>
      </c>
      <c r="B14" s="168">
        <v>11</v>
      </c>
      <c r="C14" s="168" t="s">
        <v>419</v>
      </c>
      <c r="D14" s="171" t="s">
        <v>420</v>
      </c>
      <c r="E14" s="170" t="s">
        <v>421</v>
      </c>
      <c r="F14" s="168">
        <v>46</v>
      </c>
      <c r="G14" s="168" t="s">
        <v>422</v>
      </c>
      <c r="H14" s="172" t="s">
        <v>423</v>
      </c>
    </row>
    <row r="15" spans="1:8" ht="24.75" customHeight="1">
      <c r="A15" s="168"/>
      <c r="B15" s="168">
        <v>12</v>
      </c>
      <c r="C15" s="168" t="s">
        <v>424</v>
      </c>
      <c r="D15" s="171" t="s">
        <v>425</v>
      </c>
      <c r="E15" s="170"/>
      <c r="F15" s="168">
        <v>47</v>
      </c>
      <c r="G15" s="168" t="s">
        <v>426</v>
      </c>
      <c r="H15" s="172" t="s">
        <v>427</v>
      </c>
    </row>
    <row r="16" spans="1:8" ht="24.75" customHeight="1">
      <c r="A16" s="168"/>
      <c r="B16" s="168">
        <v>13</v>
      </c>
      <c r="C16" s="168" t="s">
        <v>428</v>
      </c>
      <c r="D16" s="171" t="s">
        <v>429</v>
      </c>
      <c r="E16" s="170"/>
      <c r="F16" s="168">
        <v>48</v>
      </c>
      <c r="G16" s="168" t="s">
        <v>430</v>
      </c>
      <c r="H16" s="172" t="s">
        <v>431</v>
      </c>
    </row>
    <row r="17" spans="1:8" ht="24.75" customHeight="1">
      <c r="A17" s="168"/>
      <c r="B17" s="168">
        <v>14</v>
      </c>
      <c r="C17" s="168" t="s">
        <v>432</v>
      </c>
      <c r="D17" s="171" t="s">
        <v>433</v>
      </c>
      <c r="E17" s="170"/>
      <c r="F17" s="168">
        <v>49</v>
      </c>
      <c r="G17" s="168" t="s">
        <v>434</v>
      </c>
      <c r="H17" s="172" t="s">
        <v>435</v>
      </c>
    </row>
    <row r="18" spans="1:8" ht="24.75" customHeight="1">
      <c r="A18" s="168"/>
      <c r="B18" s="168">
        <v>15</v>
      </c>
      <c r="C18" s="168" t="s">
        <v>436</v>
      </c>
      <c r="D18" s="171" t="s">
        <v>437</v>
      </c>
      <c r="E18" s="170" t="s">
        <v>438</v>
      </c>
      <c r="F18" s="168">
        <v>50</v>
      </c>
      <c r="G18" s="168" t="s">
        <v>439</v>
      </c>
      <c r="H18" s="172" t="s">
        <v>440</v>
      </c>
    </row>
    <row r="19" spans="1:8" ht="24.75" customHeight="1">
      <c r="A19" s="168"/>
      <c r="B19" s="168">
        <v>16</v>
      </c>
      <c r="C19" s="168" t="s">
        <v>441</v>
      </c>
      <c r="D19" s="171" t="s">
        <v>442</v>
      </c>
      <c r="E19" s="170"/>
      <c r="F19" s="168">
        <v>51</v>
      </c>
      <c r="G19" s="168" t="s">
        <v>443</v>
      </c>
      <c r="H19" s="172" t="s">
        <v>444</v>
      </c>
    </row>
    <row r="20" spans="1:8" ht="24.75" customHeight="1">
      <c r="A20" s="168"/>
      <c r="B20" s="168">
        <v>17</v>
      </c>
      <c r="C20" s="168" t="s">
        <v>445</v>
      </c>
      <c r="D20" s="171" t="s">
        <v>446</v>
      </c>
      <c r="E20" s="170"/>
      <c r="F20" s="168">
        <v>52</v>
      </c>
      <c r="G20" s="168" t="s">
        <v>447</v>
      </c>
      <c r="H20" s="172" t="s">
        <v>448</v>
      </c>
    </row>
    <row r="21" spans="1:8" ht="24.75" customHeight="1">
      <c r="A21" s="168"/>
      <c r="B21" s="168">
        <v>18</v>
      </c>
      <c r="C21" s="168" t="s">
        <v>449</v>
      </c>
      <c r="D21" s="171" t="s">
        <v>450</v>
      </c>
      <c r="E21" s="170"/>
      <c r="F21" s="168">
        <v>53</v>
      </c>
      <c r="G21" s="168" t="s">
        <v>451</v>
      </c>
      <c r="H21" s="172" t="s">
        <v>452</v>
      </c>
    </row>
    <row r="22" spans="1:8" ht="24.75" customHeight="1">
      <c r="A22" s="168"/>
      <c r="B22" s="168">
        <v>19</v>
      </c>
      <c r="C22" s="168" t="s">
        <v>453</v>
      </c>
      <c r="D22" s="171" t="s">
        <v>454</v>
      </c>
      <c r="E22" s="170"/>
      <c r="F22" s="168">
        <v>54</v>
      </c>
      <c r="G22" s="168" t="s">
        <v>455</v>
      </c>
      <c r="H22" s="172" t="s">
        <v>456</v>
      </c>
    </row>
    <row r="23" spans="1:8" ht="24.75" customHeight="1">
      <c r="A23" s="168" t="s">
        <v>457</v>
      </c>
      <c r="B23" s="168">
        <v>20</v>
      </c>
      <c r="C23" s="168" t="s">
        <v>507</v>
      </c>
      <c r="D23" s="171" t="s">
        <v>458</v>
      </c>
      <c r="E23" s="170" t="s">
        <v>459</v>
      </c>
      <c r="F23" s="168">
        <v>55</v>
      </c>
      <c r="G23" s="168" t="s">
        <v>460</v>
      </c>
      <c r="H23" s="172" t="s">
        <v>461</v>
      </c>
    </row>
    <row r="24" spans="1:8" ht="24.75" customHeight="1">
      <c r="A24" s="168"/>
      <c r="B24" s="168">
        <v>21</v>
      </c>
      <c r="C24" s="168" t="s">
        <v>511</v>
      </c>
      <c r="D24" s="171" t="s">
        <v>512</v>
      </c>
      <c r="E24" s="170"/>
      <c r="F24" s="168">
        <v>56</v>
      </c>
      <c r="G24" s="168" t="s">
        <v>462</v>
      </c>
      <c r="H24" s="172" t="s">
        <v>463</v>
      </c>
    </row>
    <row r="25" spans="1:8" ht="24.75" customHeight="1">
      <c r="A25" s="168"/>
      <c r="B25" s="168">
        <v>22</v>
      </c>
      <c r="C25" s="168" t="s">
        <v>513</v>
      </c>
      <c r="D25" s="171" t="s">
        <v>464</v>
      </c>
      <c r="E25" s="170"/>
      <c r="F25" s="168">
        <v>57</v>
      </c>
      <c r="G25" s="168" t="s">
        <v>465</v>
      </c>
      <c r="H25" s="172" t="s">
        <v>466</v>
      </c>
    </row>
    <row r="26" spans="1:8" ht="24.75" customHeight="1">
      <c r="A26" s="168"/>
      <c r="B26" s="168">
        <v>23</v>
      </c>
      <c r="C26" s="168" t="s">
        <v>560</v>
      </c>
      <c r="D26" s="171" t="s">
        <v>561</v>
      </c>
      <c r="E26" s="170"/>
      <c r="F26" s="168">
        <v>58</v>
      </c>
      <c r="G26" s="168" t="s">
        <v>468</v>
      </c>
      <c r="H26" s="172" t="s">
        <v>469</v>
      </c>
    </row>
    <row r="27" spans="1:8" ht="24.75" customHeight="1">
      <c r="A27" s="168"/>
      <c r="B27" s="168">
        <v>24</v>
      </c>
      <c r="C27" s="168" t="s">
        <v>562</v>
      </c>
      <c r="D27" s="171" t="s">
        <v>467</v>
      </c>
      <c r="E27" s="170"/>
      <c r="F27" s="168">
        <v>59</v>
      </c>
      <c r="G27" s="168" t="s">
        <v>472</v>
      </c>
      <c r="H27" s="172" t="s">
        <v>473</v>
      </c>
    </row>
    <row r="28" spans="1:8" ht="24.75" customHeight="1">
      <c r="A28" s="168"/>
      <c r="B28" s="168">
        <v>25</v>
      </c>
      <c r="C28" s="168" t="s">
        <v>470</v>
      </c>
      <c r="D28" s="171" t="s">
        <v>471</v>
      </c>
      <c r="E28" s="170"/>
      <c r="F28" s="168">
        <v>60</v>
      </c>
      <c r="G28" s="168" t="s">
        <v>477</v>
      </c>
      <c r="H28" s="172" t="s">
        <v>478</v>
      </c>
    </row>
    <row r="29" spans="1:8" ht="24.75" customHeight="1">
      <c r="A29" s="168" t="s">
        <v>474</v>
      </c>
      <c r="B29" s="168">
        <v>26</v>
      </c>
      <c r="C29" s="168" t="s">
        <v>475</v>
      </c>
      <c r="D29" s="171" t="s">
        <v>476</v>
      </c>
      <c r="E29" s="170"/>
      <c r="F29" s="168">
        <v>61</v>
      </c>
      <c r="G29" s="168" t="s">
        <v>481</v>
      </c>
      <c r="H29" s="172" t="s">
        <v>482</v>
      </c>
    </row>
    <row r="30" spans="1:8" ht="24.75" customHeight="1">
      <c r="A30" s="168"/>
      <c r="B30" s="168">
        <v>27</v>
      </c>
      <c r="C30" s="168" t="s">
        <v>479</v>
      </c>
      <c r="D30" s="171" t="s">
        <v>480</v>
      </c>
      <c r="E30" s="170"/>
      <c r="F30" s="168">
        <v>62</v>
      </c>
      <c r="G30" s="168" t="s">
        <v>485</v>
      </c>
      <c r="H30" s="172" t="s">
        <v>486</v>
      </c>
    </row>
    <row r="31" spans="1:8" ht="24.75" customHeight="1">
      <c r="A31" s="168"/>
      <c r="B31" s="168">
        <v>28</v>
      </c>
      <c r="C31" s="168" t="s">
        <v>483</v>
      </c>
      <c r="D31" s="171" t="s">
        <v>484</v>
      </c>
      <c r="E31" s="170"/>
      <c r="F31" s="168"/>
      <c r="G31" s="168"/>
      <c r="H31" s="172"/>
    </row>
    <row r="32" spans="1:8" ht="24.75" customHeight="1">
      <c r="A32" s="168"/>
      <c r="B32" s="168">
        <v>29</v>
      </c>
      <c r="C32" s="168" t="s">
        <v>487</v>
      </c>
      <c r="D32" s="171" t="s">
        <v>488</v>
      </c>
      <c r="E32" s="173" t="s">
        <v>491</v>
      </c>
      <c r="F32" s="174"/>
      <c r="G32" s="174"/>
      <c r="H32" s="175"/>
    </row>
    <row r="33" spans="1:8" ht="24.75" customHeight="1">
      <c r="A33" s="168"/>
      <c r="B33" s="168">
        <v>30</v>
      </c>
      <c r="C33" s="168" t="s">
        <v>489</v>
      </c>
      <c r="D33" s="171" t="s">
        <v>490</v>
      </c>
      <c r="E33" s="176" t="s">
        <v>495</v>
      </c>
      <c r="F33" s="177"/>
      <c r="G33" s="177"/>
      <c r="H33" s="178"/>
    </row>
    <row r="34" spans="1:8" ht="24.75" customHeight="1">
      <c r="A34" s="168" t="s">
        <v>492</v>
      </c>
      <c r="B34" s="168">
        <v>31</v>
      </c>
      <c r="C34" s="168" t="s">
        <v>493</v>
      </c>
      <c r="D34" s="171" t="s">
        <v>494</v>
      </c>
      <c r="E34" s="256" t="s">
        <v>506</v>
      </c>
      <c r="F34" s="256"/>
      <c r="G34" s="256"/>
      <c r="H34" s="257"/>
    </row>
    <row r="35" spans="1:8" ht="24.75" customHeight="1">
      <c r="A35" s="168"/>
      <c r="B35" s="168">
        <v>32</v>
      </c>
      <c r="C35" s="168" t="s">
        <v>496</v>
      </c>
      <c r="D35" s="171" t="s">
        <v>497</v>
      </c>
      <c r="E35" s="256"/>
      <c r="F35" s="256"/>
      <c r="G35" s="256"/>
      <c r="H35" s="257"/>
    </row>
    <row r="36" spans="1:8" ht="24.75" customHeight="1">
      <c r="A36" s="168"/>
      <c r="B36" s="168">
        <v>33</v>
      </c>
      <c r="C36" s="168" t="s">
        <v>498</v>
      </c>
      <c r="D36" s="171" t="s">
        <v>499</v>
      </c>
      <c r="E36" s="177"/>
      <c r="F36" s="177"/>
      <c r="G36" s="177"/>
      <c r="H36" s="178"/>
    </row>
    <row r="37" spans="1:8" ht="24.75" customHeight="1">
      <c r="A37" s="168"/>
      <c r="B37" s="168">
        <v>34</v>
      </c>
      <c r="C37" s="168" t="s">
        <v>500</v>
      </c>
      <c r="D37" s="171" t="s">
        <v>501</v>
      </c>
      <c r="E37" s="177"/>
      <c r="F37" s="177"/>
      <c r="G37" s="177"/>
      <c r="H37" s="178"/>
    </row>
    <row r="38" spans="1:8" ht="24.75" customHeight="1">
      <c r="A38" s="168"/>
      <c r="B38" s="168">
        <v>35</v>
      </c>
      <c r="C38" s="168" t="s">
        <v>502</v>
      </c>
      <c r="D38" s="171" t="s">
        <v>503</v>
      </c>
      <c r="E38" s="199"/>
      <c r="F38" s="200"/>
      <c r="G38" s="200"/>
      <c r="H38" s="201"/>
    </row>
  </sheetData>
  <sheetProtection password="CCF7" sheet="1"/>
  <mergeCells count="3">
    <mergeCell ref="A1:H1"/>
    <mergeCell ref="A2:H2"/>
    <mergeCell ref="E34:H35"/>
  </mergeCells>
  <printOptions/>
  <pageMargins left="0.39" right="0.33" top="0.16" bottom="0.27" header="0.31496062992125984" footer="0.31496062992125984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85"/>
  <sheetViews>
    <sheetView zoomScalePageLayoutView="0" workbookViewId="0" topLeftCell="A270">
      <selection activeCell="D303" sqref="D303"/>
    </sheetView>
  </sheetViews>
  <sheetFormatPr defaultColWidth="9.00390625" defaultRowHeight="16.5"/>
  <cols>
    <col min="1" max="1" width="10.375" style="16" customWidth="1"/>
    <col min="2" max="2" width="7.25390625" style="16" customWidth="1"/>
    <col min="3" max="3" width="10.50390625" style="16" bestFit="1" customWidth="1"/>
    <col min="4" max="4" width="9.125" style="16" customWidth="1"/>
    <col min="5" max="5" width="10.125" style="16" customWidth="1"/>
    <col min="6" max="6" width="9.00390625" style="16" customWidth="1"/>
    <col min="7" max="7" width="6.375" style="16" customWidth="1"/>
    <col min="8" max="8" width="22.50390625" style="16" bestFit="1" customWidth="1"/>
    <col min="9" max="9" width="21.50390625" style="16" bestFit="1" customWidth="1"/>
    <col min="10" max="10" width="22.50390625" style="16" bestFit="1" customWidth="1"/>
    <col min="11" max="13" width="10.625" style="16" customWidth="1"/>
    <col min="14" max="14" width="29.75390625" style="16" customWidth="1"/>
    <col min="15" max="15" width="8.50390625" style="16" customWidth="1"/>
    <col min="16" max="16" width="10.875" style="16" customWidth="1"/>
    <col min="17" max="17" width="5.25390625" style="16" bestFit="1" customWidth="1"/>
    <col min="18" max="16384" width="9.00390625" style="16" customWidth="1"/>
  </cols>
  <sheetData>
    <row r="1" spans="1:12" ht="14.25">
      <c r="A1" s="259" t="s">
        <v>160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4" s="18" customFormat="1" ht="28.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161</v>
      </c>
      <c r="N2" s="1"/>
    </row>
    <row r="3" spans="1:14" s="18" customFormat="1" ht="30" customHeight="1">
      <c r="A3" s="2" t="s">
        <v>39</v>
      </c>
      <c r="B3" s="2" t="s">
        <v>14</v>
      </c>
      <c r="C3" s="2" t="s">
        <v>40</v>
      </c>
      <c r="D3" s="2" t="s">
        <v>15</v>
      </c>
      <c r="E3" s="2" t="s">
        <v>41</v>
      </c>
      <c r="F3" s="2" t="s">
        <v>42</v>
      </c>
      <c r="G3" s="2">
        <v>351</v>
      </c>
      <c r="H3" s="2">
        <v>99</v>
      </c>
      <c r="I3" s="2">
        <v>270</v>
      </c>
      <c r="J3" s="2">
        <v>0</v>
      </c>
      <c r="K3" s="2">
        <v>0</v>
      </c>
      <c r="L3" s="2">
        <v>0</v>
      </c>
      <c r="M3" s="2">
        <v>1500</v>
      </c>
      <c r="N3" s="1"/>
    </row>
    <row r="4" spans="1:14" s="18" customFormat="1" ht="30" customHeight="1">
      <c r="A4" s="2" t="s">
        <v>39</v>
      </c>
      <c r="B4" s="2" t="s">
        <v>16</v>
      </c>
      <c r="C4" s="2" t="s">
        <v>43</v>
      </c>
      <c r="D4" s="2" t="s">
        <v>15</v>
      </c>
      <c r="E4" s="2" t="s">
        <v>41</v>
      </c>
      <c r="F4" s="2" t="s">
        <v>42</v>
      </c>
      <c r="G4" s="2">
        <v>520</v>
      </c>
      <c r="H4" s="2">
        <v>146</v>
      </c>
      <c r="I4" s="2">
        <v>270</v>
      </c>
      <c r="J4" s="2">
        <v>0</v>
      </c>
      <c r="K4" s="2">
        <v>0</v>
      </c>
      <c r="L4" s="2">
        <v>0</v>
      </c>
      <c r="M4" s="2" t="s">
        <v>101</v>
      </c>
      <c r="N4" s="1"/>
    </row>
    <row r="5" spans="1:13" s="5" customFormat="1" ht="14.25">
      <c r="A5" s="4"/>
      <c r="F5" s="4" t="s">
        <v>17</v>
      </c>
      <c r="G5" s="5">
        <f aca="true" t="shared" si="0" ref="G5:M5">SUM(G3:G4)</f>
        <v>871</v>
      </c>
      <c r="H5" s="5">
        <f t="shared" si="0"/>
        <v>245</v>
      </c>
      <c r="I5" s="5">
        <f t="shared" si="0"/>
        <v>540</v>
      </c>
      <c r="J5" s="5">
        <f t="shared" si="0"/>
        <v>0</v>
      </c>
      <c r="K5" s="5">
        <f t="shared" si="0"/>
        <v>0</v>
      </c>
      <c r="L5" s="5">
        <f t="shared" si="0"/>
        <v>0</v>
      </c>
      <c r="M5" s="5">
        <f t="shared" si="0"/>
        <v>1500</v>
      </c>
    </row>
    <row r="6" spans="1:12" ht="13.5">
      <c r="A6" s="258" t="s">
        <v>210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</row>
    <row r="7" spans="1:14" ht="28.5">
      <c r="A7" s="1" t="s">
        <v>2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7</v>
      </c>
      <c r="G7" s="1" t="s">
        <v>8</v>
      </c>
      <c r="H7" s="1" t="s">
        <v>9</v>
      </c>
      <c r="I7" s="1" t="s">
        <v>10</v>
      </c>
      <c r="J7" s="1" t="s">
        <v>11</v>
      </c>
      <c r="K7" s="1" t="s">
        <v>12</v>
      </c>
      <c r="L7" s="1" t="s">
        <v>13</v>
      </c>
      <c r="M7" s="1" t="s">
        <v>211</v>
      </c>
      <c r="N7" s="1"/>
    </row>
    <row r="8" spans="1:14" ht="57">
      <c r="A8" s="2" t="s">
        <v>39</v>
      </c>
      <c r="B8" s="2" t="s">
        <v>14</v>
      </c>
      <c r="C8" s="2" t="s">
        <v>40</v>
      </c>
      <c r="D8" s="2" t="s">
        <v>15</v>
      </c>
      <c r="E8" s="2" t="s">
        <v>41</v>
      </c>
      <c r="F8" s="2" t="s">
        <v>42</v>
      </c>
      <c r="G8" s="2">
        <v>351</v>
      </c>
      <c r="H8" s="2">
        <v>99</v>
      </c>
      <c r="I8" s="2">
        <v>270</v>
      </c>
      <c r="J8" s="2">
        <v>0</v>
      </c>
      <c r="K8" s="2">
        <v>0</v>
      </c>
      <c r="L8" s="2">
        <v>0</v>
      </c>
      <c r="M8" s="2" t="s">
        <v>102</v>
      </c>
      <c r="N8" s="1"/>
    </row>
    <row r="9" spans="1:14" ht="57">
      <c r="A9" s="2" t="s">
        <v>39</v>
      </c>
      <c r="B9" s="2" t="s">
        <v>16</v>
      </c>
      <c r="C9" s="2" t="s">
        <v>43</v>
      </c>
      <c r="D9" s="2" t="s">
        <v>15</v>
      </c>
      <c r="E9" s="2" t="s">
        <v>41</v>
      </c>
      <c r="F9" s="2" t="s">
        <v>42</v>
      </c>
      <c r="G9" s="2">
        <v>226</v>
      </c>
      <c r="H9" s="2">
        <v>64</v>
      </c>
      <c r="I9" s="2">
        <v>117</v>
      </c>
      <c r="J9" s="2">
        <v>0</v>
      </c>
      <c r="K9" s="2">
        <v>0</v>
      </c>
      <c r="L9" s="2">
        <v>0</v>
      </c>
      <c r="M9" s="2" t="s">
        <v>102</v>
      </c>
      <c r="N9" s="1"/>
    </row>
    <row r="10" spans="1:13" s="5" customFormat="1" ht="14.25">
      <c r="A10" s="4"/>
      <c r="F10" s="4" t="s">
        <v>17</v>
      </c>
      <c r="G10" s="5">
        <f aca="true" t="shared" si="1" ref="G10:M10">SUM(G8:G9)</f>
        <v>577</v>
      </c>
      <c r="H10" s="5">
        <f t="shared" si="1"/>
        <v>163</v>
      </c>
      <c r="I10" s="5">
        <f t="shared" si="1"/>
        <v>387</v>
      </c>
      <c r="J10" s="5">
        <f t="shared" si="1"/>
        <v>0</v>
      </c>
      <c r="K10" s="5">
        <f t="shared" si="1"/>
        <v>0</v>
      </c>
      <c r="L10" s="5">
        <f t="shared" si="1"/>
        <v>0</v>
      </c>
      <c r="M10" s="5">
        <f t="shared" si="1"/>
        <v>0</v>
      </c>
    </row>
    <row r="11" spans="1:12" ht="13.5">
      <c r="A11" s="258" t="s">
        <v>190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</row>
    <row r="12" spans="1:14" ht="28.5">
      <c r="A12" s="1" t="s">
        <v>2</v>
      </c>
      <c r="B12" s="1" t="s">
        <v>3</v>
      </c>
      <c r="C12" s="1" t="s">
        <v>4</v>
      </c>
      <c r="D12" s="1" t="s">
        <v>5</v>
      </c>
      <c r="E12" s="1" t="s">
        <v>6</v>
      </c>
      <c r="F12" s="1" t="s">
        <v>7</v>
      </c>
      <c r="G12" s="1" t="s">
        <v>8</v>
      </c>
      <c r="H12" s="1" t="s">
        <v>9</v>
      </c>
      <c r="I12" s="1" t="s">
        <v>10</v>
      </c>
      <c r="J12" s="1" t="s">
        <v>11</v>
      </c>
      <c r="K12" s="1" t="s">
        <v>12</v>
      </c>
      <c r="L12" s="1" t="s">
        <v>13</v>
      </c>
      <c r="M12" s="3" t="s">
        <v>159</v>
      </c>
      <c r="N12" s="1"/>
    </row>
    <row r="13" spans="1:14" ht="57">
      <c r="A13" s="2" t="s">
        <v>39</v>
      </c>
      <c r="B13" s="2" t="s">
        <v>14</v>
      </c>
      <c r="C13" s="2" t="s">
        <v>40</v>
      </c>
      <c r="D13" s="2" t="s">
        <v>15</v>
      </c>
      <c r="E13" s="2" t="s">
        <v>41</v>
      </c>
      <c r="F13" s="2" t="s">
        <v>42</v>
      </c>
      <c r="G13" s="2">
        <v>351</v>
      </c>
      <c r="H13" s="2">
        <v>99</v>
      </c>
      <c r="I13" s="2">
        <v>270</v>
      </c>
      <c r="J13" s="2">
        <v>0</v>
      </c>
      <c r="K13" s="2">
        <v>0</v>
      </c>
      <c r="L13" s="2">
        <v>0</v>
      </c>
      <c r="M13" s="2" t="s">
        <v>102</v>
      </c>
      <c r="N13" s="1"/>
    </row>
    <row r="14" spans="1:13" s="5" customFormat="1" ht="14.25">
      <c r="A14" s="4"/>
      <c r="F14" s="4" t="s">
        <v>17</v>
      </c>
      <c r="G14" s="5">
        <f aca="true" t="shared" si="2" ref="G14:M14">SUM(G12:G13)</f>
        <v>351</v>
      </c>
      <c r="H14" s="5">
        <f t="shared" si="2"/>
        <v>99</v>
      </c>
      <c r="I14" s="5">
        <f t="shared" si="2"/>
        <v>270</v>
      </c>
      <c r="J14" s="5">
        <f t="shared" si="2"/>
        <v>0</v>
      </c>
      <c r="K14" s="5">
        <f t="shared" si="2"/>
        <v>0</v>
      </c>
      <c r="L14" s="5">
        <f t="shared" si="2"/>
        <v>0</v>
      </c>
      <c r="M14" s="5">
        <f t="shared" si="2"/>
        <v>0</v>
      </c>
    </row>
    <row r="15" spans="1:12" ht="13.5">
      <c r="A15" s="258" t="s">
        <v>191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</row>
    <row r="16" spans="1:14" ht="28.5">
      <c r="A16" s="1" t="s">
        <v>2</v>
      </c>
      <c r="B16" s="1" t="s">
        <v>3</v>
      </c>
      <c r="C16" s="1" t="s">
        <v>4</v>
      </c>
      <c r="D16" s="1" t="s">
        <v>5</v>
      </c>
      <c r="E16" s="1" t="s">
        <v>6</v>
      </c>
      <c r="F16" s="1" t="s">
        <v>7</v>
      </c>
      <c r="G16" s="1" t="s">
        <v>8</v>
      </c>
      <c r="H16" s="1" t="s">
        <v>9</v>
      </c>
      <c r="I16" s="1" t="s">
        <v>10</v>
      </c>
      <c r="J16" s="1" t="s">
        <v>11</v>
      </c>
      <c r="K16" s="1" t="s">
        <v>12</v>
      </c>
      <c r="L16" s="1" t="s">
        <v>13</v>
      </c>
      <c r="M16" s="1" t="s">
        <v>55</v>
      </c>
      <c r="N16" s="1"/>
    </row>
    <row r="17" spans="1:14" ht="57">
      <c r="A17" s="2" t="s">
        <v>39</v>
      </c>
      <c r="B17" s="2" t="s">
        <v>14</v>
      </c>
      <c r="C17" s="2" t="s">
        <v>40</v>
      </c>
      <c r="D17" s="2" t="s">
        <v>15</v>
      </c>
      <c r="E17" s="2" t="s">
        <v>41</v>
      </c>
      <c r="F17" s="2" t="s">
        <v>42</v>
      </c>
      <c r="G17" s="2">
        <v>433</v>
      </c>
      <c r="H17" s="2">
        <v>122</v>
      </c>
      <c r="I17" s="2">
        <v>261</v>
      </c>
      <c r="J17" s="2">
        <v>0</v>
      </c>
      <c r="K17" s="2">
        <v>0</v>
      </c>
      <c r="L17" s="2">
        <v>0</v>
      </c>
      <c r="M17" s="2" t="s">
        <v>102</v>
      </c>
      <c r="N17" s="1"/>
    </row>
    <row r="18" spans="1:13" s="5" customFormat="1" ht="14.25">
      <c r="A18" s="4"/>
      <c r="F18" s="4" t="s">
        <v>17</v>
      </c>
      <c r="G18" s="5">
        <f aca="true" t="shared" si="3" ref="G18:M18">SUM(G16:G17)</f>
        <v>433</v>
      </c>
      <c r="H18" s="5">
        <f t="shared" si="3"/>
        <v>122</v>
      </c>
      <c r="I18" s="5">
        <f t="shared" si="3"/>
        <v>261</v>
      </c>
      <c r="J18" s="5">
        <f t="shared" si="3"/>
        <v>0</v>
      </c>
      <c r="K18" s="5">
        <f t="shared" si="3"/>
        <v>0</v>
      </c>
      <c r="L18" s="5">
        <f t="shared" si="3"/>
        <v>0</v>
      </c>
      <c r="M18" s="5">
        <f t="shared" si="3"/>
        <v>0</v>
      </c>
    </row>
    <row r="19" spans="6:13" s="5" customFormat="1" ht="15" thickBot="1">
      <c r="F19" s="6" t="s">
        <v>18</v>
      </c>
      <c r="G19" s="19">
        <f>G5+G10+G14+G18</f>
        <v>2232</v>
      </c>
      <c r="H19" s="20">
        <f aca="true" t="shared" si="4" ref="H19:M19">H5+H10+H14+H18</f>
        <v>629</v>
      </c>
      <c r="I19" s="19">
        <f t="shared" si="4"/>
        <v>1458</v>
      </c>
      <c r="J19" s="20">
        <f t="shared" si="4"/>
        <v>0</v>
      </c>
      <c r="K19" s="20">
        <f t="shared" si="4"/>
        <v>0</v>
      </c>
      <c r="L19" s="20">
        <f t="shared" si="4"/>
        <v>0</v>
      </c>
      <c r="M19" s="19">
        <f t="shared" si="4"/>
        <v>1500</v>
      </c>
    </row>
    <row r="20" ht="13.5" thickTop="1"/>
    <row r="25" spans="1:12" ht="12.75">
      <c r="A25" s="258" t="s">
        <v>158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</row>
    <row r="26" spans="1:14" ht="28.5">
      <c r="A26" s="1" t="s">
        <v>2</v>
      </c>
      <c r="B26" s="1" t="s">
        <v>3</v>
      </c>
      <c r="C26" s="1" t="s">
        <v>4</v>
      </c>
      <c r="D26" s="1" t="s">
        <v>5</v>
      </c>
      <c r="E26" s="1" t="s">
        <v>6</v>
      </c>
      <c r="F26" s="1" t="s">
        <v>7</v>
      </c>
      <c r="G26" s="1" t="s">
        <v>8</v>
      </c>
      <c r="H26" s="1" t="s">
        <v>9</v>
      </c>
      <c r="I26" s="1" t="s">
        <v>10</v>
      </c>
      <c r="J26" s="1" t="s">
        <v>11</v>
      </c>
      <c r="K26" s="1" t="s">
        <v>12</v>
      </c>
      <c r="L26" s="1" t="s">
        <v>13</v>
      </c>
      <c r="M26" s="3" t="s">
        <v>212</v>
      </c>
      <c r="N26" s="1"/>
    </row>
    <row r="27" spans="1:14" ht="57">
      <c r="A27" s="2" t="s">
        <v>39</v>
      </c>
      <c r="B27" s="2" t="s">
        <v>20</v>
      </c>
      <c r="C27" s="7" t="s">
        <v>213</v>
      </c>
      <c r="D27" s="2" t="s">
        <v>23</v>
      </c>
      <c r="E27" s="7" t="s">
        <v>44</v>
      </c>
      <c r="F27" s="2" t="s">
        <v>42</v>
      </c>
      <c r="G27" s="2">
        <v>29</v>
      </c>
      <c r="H27" s="2">
        <v>8</v>
      </c>
      <c r="I27" s="2">
        <v>9</v>
      </c>
      <c r="J27" s="2">
        <v>0</v>
      </c>
      <c r="K27" s="2">
        <v>0</v>
      </c>
      <c r="L27" s="2">
        <v>0</v>
      </c>
      <c r="M27" s="2" t="s">
        <v>101</v>
      </c>
      <c r="N27" s="1"/>
    </row>
    <row r="28" spans="1:14" ht="57">
      <c r="A28" s="2" t="s">
        <v>39</v>
      </c>
      <c r="B28" s="2" t="s">
        <v>21</v>
      </c>
      <c r="C28" s="7" t="s">
        <v>56</v>
      </c>
      <c r="D28" s="2" t="s">
        <v>23</v>
      </c>
      <c r="E28" s="7" t="s">
        <v>44</v>
      </c>
      <c r="F28" s="2" t="s">
        <v>42</v>
      </c>
      <c r="G28" s="2">
        <v>29</v>
      </c>
      <c r="H28" s="2">
        <v>8</v>
      </c>
      <c r="I28" s="2">
        <v>9</v>
      </c>
      <c r="J28" s="2">
        <v>0</v>
      </c>
      <c r="K28" s="2">
        <v>0</v>
      </c>
      <c r="L28" s="2">
        <v>0</v>
      </c>
      <c r="M28" s="2" t="s">
        <v>101</v>
      </c>
      <c r="N28" s="1"/>
    </row>
    <row r="29" spans="1:14" ht="57">
      <c r="A29" s="2" t="s">
        <v>39</v>
      </c>
      <c r="B29" s="2" t="s">
        <v>22</v>
      </c>
      <c r="C29" s="7" t="s">
        <v>103</v>
      </c>
      <c r="D29" s="2" t="s">
        <v>23</v>
      </c>
      <c r="E29" s="7" t="s">
        <v>44</v>
      </c>
      <c r="F29" s="2" t="s">
        <v>42</v>
      </c>
      <c r="G29" s="2">
        <v>29</v>
      </c>
      <c r="H29" s="2">
        <v>8</v>
      </c>
      <c r="I29" s="2">
        <v>9</v>
      </c>
      <c r="J29" s="2">
        <v>0</v>
      </c>
      <c r="K29" s="2">
        <v>0</v>
      </c>
      <c r="L29" s="2">
        <v>0</v>
      </c>
      <c r="M29" s="2" t="s">
        <v>101</v>
      </c>
      <c r="N29" s="1"/>
    </row>
    <row r="30" spans="1:13" s="5" customFormat="1" ht="14.25">
      <c r="A30" s="4"/>
      <c r="F30" s="4" t="s">
        <v>17</v>
      </c>
      <c r="G30" s="5">
        <f>SUM(G27:G29)</f>
        <v>87</v>
      </c>
      <c r="H30" s="5">
        <f aca="true" t="shared" si="5" ref="H30:M30">SUM(H27:H29)</f>
        <v>24</v>
      </c>
      <c r="I30" s="5">
        <f t="shared" si="5"/>
        <v>27</v>
      </c>
      <c r="J30" s="5">
        <f t="shared" si="5"/>
        <v>0</v>
      </c>
      <c r="K30" s="5">
        <f t="shared" si="5"/>
        <v>0</v>
      </c>
      <c r="L30" s="5">
        <f t="shared" si="5"/>
        <v>0</v>
      </c>
      <c r="M30" s="5">
        <f t="shared" si="5"/>
        <v>0</v>
      </c>
    </row>
    <row r="31" spans="1:12" ht="13.5">
      <c r="A31" s="258" t="s">
        <v>190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</row>
    <row r="32" spans="1:14" ht="28.5">
      <c r="A32" s="1" t="s">
        <v>2</v>
      </c>
      <c r="B32" s="1" t="s">
        <v>3</v>
      </c>
      <c r="C32" s="1" t="s">
        <v>4</v>
      </c>
      <c r="D32" s="1" t="s">
        <v>5</v>
      </c>
      <c r="E32" s="1" t="s">
        <v>6</v>
      </c>
      <c r="F32" s="1" t="s">
        <v>7</v>
      </c>
      <c r="G32" s="1" t="s">
        <v>8</v>
      </c>
      <c r="H32" s="1" t="s">
        <v>9</v>
      </c>
      <c r="I32" s="1" t="s">
        <v>10</v>
      </c>
      <c r="J32" s="1" t="s">
        <v>11</v>
      </c>
      <c r="K32" s="1" t="s">
        <v>12</v>
      </c>
      <c r="L32" s="1" t="s">
        <v>13</v>
      </c>
      <c r="M32" s="3" t="s">
        <v>159</v>
      </c>
      <c r="N32" s="1"/>
    </row>
    <row r="33" spans="1:14" ht="57">
      <c r="A33" s="2" t="s">
        <v>39</v>
      </c>
      <c r="B33" s="2" t="s">
        <v>20</v>
      </c>
      <c r="C33" s="7" t="s">
        <v>213</v>
      </c>
      <c r="D33" s="2" t="s">
        <v>23</v>
      </c>
      <c r="E33" s="7" t="s">
        <v>44</v>
      </c>
      <c r="F33" s="2" t="s">
        <v>42</v>
      </c>
      <c r="G33" s="2">
        <v>346</v>
      </c>
      <c r="H33" s="2">
        <v>98</v>
      </c>
      <c r="I33" s="2">
        <v>108</v>
      </c>
      <c r="J33" s="2">
        <v>0</v>
      </c>
      <c r="K33" s="2">
        <v>0</v>
      </c>
      <c r="L33" s="2">
        <v>0</v>
      </c>
      <c r="M33" s="2" t="s">
        <v>102</v>
      </c>
      <c r="N33" s="1"/>
    </row>
    <row r="34" spans="1:14" ht="57">
      <c r="A34" s="2" t="s">
        <v>39</v>
      </c>
      <c r="B34" s="2" t="s">
        <v>21</v>
      </c>
      <c r="C34" s="7" t="s">
        <v>56</v>
      </c>
      <c r="D34" s="2" t="s">
        <v>23</v>
      </c>
      <c r="E34" s="7" t="s">
        <v>44</v>
      </c>
      <c r="F34" s="2" t="s">
        <v>42</v>
      </c>
      <c r="G34" s="2">
        <v>346</v>
      </c>
      <c r="H34" s="2">
        <v>98</v>
      </c>
      <c r="I34" s="2">
        <v>108</v>
      </c>
      <c r="J34" s="2">
        <v>0</v>
      </c>
      <c r="K34" s="2">
        <v>0</v>
      </c>
      <c r="L34" s="2">
        <v>0</v>
      </c>
      <c r="M34" s="2" t="s">
        <v>102</v>
      </c>
      <c r="N34" s="1"/>
    </row>
    <row r="35" spans="1:14" ht="57">
      <c r="A35" s="2" t="s">
        <v>39</v>
      </c>
      <c r="B35" s="2" t="s">
        <v>22</v>
      </c>
      <c r="C35" s="7" t="s">
        <v>103</v>
      </c>
      <c r="D35" s="2" t="s">
        <v>23</v>
      </c>
      <c r="E35" s="7" t="s">
        <v>44</v>
      </c>
      <c r="F35" s="2" t="s">
        <v>42</v>
      </c>
      <c r="G35" s="2">
        <v>346</v>
      </c>
      <c r="H35" s="2">
        <v>98</v>
      </c>
      <c r="I35" s="2">
        <v>108</v>
      </c>
      <c r="J35" s="2">
        <v>0</v>
      </c>
      <c r="K35" s="2">
        <v>0</v>
      </c>
      <c r="L35" s="2">
        <v>0</v>
      </c>
      <c r="M35" s="2" t="s">
        <v>102</v>
      </c>
      <c r="N35" s="1"/>
    </row>
    <row r="36" spans="1:13" s="5" customFormat="1" ht="14.25">
      <c r="A36" s="4"/>
      <c r="F36" s="4" t="s">
        <v>17</v>
      </c>
      <c r="G36" s="5">
        <f aca="true" t="shared" si="6" ref="G36:M36">SUM(G33:G35)</f>
        <v>1038</v>
      </c>
      <c r="H36" s="5">
        <f t="shared" si="6"/>
        <v>294</v>
      </c>
      <c r="I36" s="5">
        <f t="shared" si="6"/>
        <v>324</v>
      </c>
      <c r="J36" s="5">
        <f t="shared" si="6"/>
        <v>0</v>
      </c>
      <c r="K36" s="5">
        <f t="shared" si="6"/>
        <v>0</v>
      </c>
      <c r="L36" s="5">
        <f t="shared" si="6"/>
        <v>0</v>
      </c>
      <c r="M36" s="5">
        <f t="shared" si="6"/>
        <v>0</v>
      </c>
    </row>
    <row r="37" spans="6:13" s="5" customFormat="1" ht="15" thickBot="1">
      <c r="F37" s="6" t="s">
        <v>18</v>
      </c>
      <c r="G37" s="19">
        <f>G30+G36</f>
        <v>1125</v>
      </c>
      <c r="H37" s="21">
        <f aca="true" t="shared" si="7" ref="H37:M37">H30+H36</f>
        <v>318</v>
      </c>
      <c r="I37" s="19">
        <f t="shared" si="7"/>
        <v>351</v>
      </c>
      <c r="J37" s="21">
        <f t="shared" si="7"/>
        <v>0</v>
      </c>
      <c r="K37" s="21">
        <f t="shared" si="7"/>
        <v>0</v>
      </c>
      <c r="L37" s="21">
        <f t="shared" si="7"/>
        <v>0</v>
      </c>
      <c r="M37" s="21">
        <f t="shared" si="7"/>
        <v>0</v>
      </c>
    </row>
    <row r="38" ht="13.5" thickTop="1"/>
    <row r="42" spans="1:12" ht="13.5">
      <c r="A42" s="258" t="s">
        <v>214</v>
      </c>
      <c r="B42" s="259"/>
      <c r="C42" s="259"/>
      <c r="D42" s="259"/>
      <c r="E42" s="259"/>
      <c r="F42" s="259"/>
      <c r="G42" s="259"/>
      <c r="H42" s="259"/>
      <c r="I42" s="259"/>
      <c r="J42" s="259"/>
      <c r="K42" s="259"/>
      <c r="L42" s="259"/>
    </row>
    <row r="43" spans="1:14" ht="28.5">
      <c r="A43" s="1" t="s">
        <v>2</v>
      </c>
      <c r="B43" s="1" t="s">
        <v>3</v>
      </c>
      <c r="C43" s="1" t="s">
        <v>4</v>
      </c>
      <c r="D43" s="1" t="s">
        <v>5</v>
      </c>
      <c r="E43" s="1" t="s">
        <v>6</v>
      </c>
      <c r="F43" s="1" t="s">
        <v>7</v>
      </c>
      <c r="G43" s="1" t="s">
        <v>8</v>
      </c>
      <c r="H43" s="1" t="s">
        <v>9</v>
      </c>
      <c r="I43" s="1" t="s">
        <v>10</v>
      </c>
      <c r="J43" s="1" t="s">
        <v>11</v>
      </c>
      <c r="K43" s="1" t="s">
        <v>12</v>
      </c>
      <c r="L43" s="1" t="s">
        <v>13</v>
      </c>
      <c r="M43" s="3" t="s">
        <v>57</v>
      </c>
      <c r="N43" s="1"/>
    </row>
    <row r="44" spans="1:14" ht="42.75">
      <c r="A44" s="7" t="s">
        <v>192</v>
      </c>
      <c r="B44" s="2" t="s">
        <v>24</v>
      </c>
      <c r="C44" s="7" t="s">
        <v>141</v>
      </c>
      <c r="D44" s="2">
        <v>514202</v>
      </c>
      <c r="E44" s="7" t="s">
        <v>45</v>
      </c>
      <c r="F44" s="2" t="s">
        <v>215</v>
      </c>
      <c r="G44" s="2">
        <v>552</v>
      </c>
      <c r="H44" s="2">
        <v>1956</v>
      </c>
      <c r="I44" s="2">
        <v>1505</v>
      </c>
      <c r="J44" s="2">
        <v>0</v>
      </c>
      <c r="K44" s="2">
        <v>0</v>
      </c>
      <c r="L44" s="2">
        <v>0</v>
      </c>
      <c r="M44" s="2" t="s">
        <v>102</v>
      </c>
      <c r="N44" s="1"/>
    </row>
    <row r="45" spans="1:14" ht="28.5" customHeight="1">
      <c r="A45" s="7" t="s">
        <v>192</v>
      </c>
      <c r="B45" s="2" t="s">
        <v>25</v>
      </c>
      <c r="C45" s="7" t="s">
        <v>216</v>
      </c>
      <c r="D45" s="2">
        <v>514202</v>
      </c>
      <c r="E45" s="7" t="s">
        <v>45</v>
      </c>
      <c r="F45" s="2" t="s">
        <v>215</v>
      </c>
      <c r="G45" s="2">
        <v>1965</v>
      </c>
      <c r="H45" s="2">
        <v>554</v>
      </c>
      <c r="I45" s="2">
        <v>1512</v>
      </c>
      <c r="J45" s="2">
        <v>0</v>
      </c>
      <c r="K45" s="2">
        <v>0</v>
      </c>
      <c r="L45" s="2">
        <v>0</v>
      </c>
      <c r="M45" s="2" t="s">
        <v>102</v>
      </c>
      <c r="N45" s="1"/>
    </row>
    <row r="46" spans="1:13" s="5" customFormat="1" ht="14.25">
      <c r="A46" s="4"/>
      <c r="F46" s="4" t="s">
        <v>17</v>
      </c>
      <c r="G46" s="5">
        <f aca="true" t="shared" si="8" ref="G46:M46">SUM(G44:G45)</f>
        <v>2517</v>
      </c>
      <c r="H46" s="5">
        <f t="shared" si="8"/>
        <v>2510</v>
      </c>
      <c r="I46" s="5">
        <f t="shared" si="8"/>
        <v>3017</v>
      </c>
      <c r="J46" s="5">
        <f t="shared" si="8"/>
        <v>0</v>
      </c>
      <c r="K46" s="5">
        <f t="shared" si="8"/>
        <v>0</v>
      </c>
      <c r="L46" s="5">
        <f t="shared" si="8"/>
        <v>0</v>
      </c>
      <c r="M46" s="5">
        <f t="shared" si="8"/>
        <v>0</v>
      </c>
    </row>
    <row r="49" spans="1:12" ht="12.75">
      <c r="A49" s="258" t="s">
        <v>193</v>
      </c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</row>
    <row r="50" spans="1:14" ht="28.5">
      <c r="A50" s="1" t="s">
        <v>2</v>
      </c>
      <c r="B50" s="1" t="s">
        <v>3</v>
      </c>
      <c r="C50" s="1" t="s">
        <v>4</v>
      </c>
      <c r="D50" s="1" t="s">
        <v>5</v>
      </c>
      <c r="E50" s="1" t="s">
        <v>6</v>
      </c>
      <c r="F50" s="1" t="s">
        <v>7</v>
      </c>
      <c r="G50" s="1" t="s">
        <v>8</v>
      </c>
      <c r="H50" s="1" t="s">
        <v>9</v>
      </c>
      <c r="I50" s="1" t="s">
        <v>10</v>
      </c>
      <c r="J50" s="1" t="s">
        <v>11</v>
      </c>
      <c r="K50" s="1" t="s">
        <v>12</v>
      </c>
      <c r="L50" s="1" t="s">
        <v>13</v>
      </c>
      <c r="M50" s="3" t="s">
        <v>57</v>
      </c>
      <c r="N50" s="1"/>
    </row>
    <row r="51" spans="1:14" ht="42.75">
      <c r="A51" s="2" t="s">
        <v>19</v>
      </c>
      <c r="B51" s="2" t="s">
        <v>26</v>
      </c>
      <c r="C51" s="7" t="s">
        <v>46</v>
      </c>
      <c r="D51" s="2" t="s">
        <v>27</v>
      </c>
      <c r="E51" s="7" t="s">
        <v>47</v>
      </c>
      <c r="F51" s="2" t="s">
        <v>28</v>
      </c>
      <c r="G51" s="2">
        <v>866</v>
      </c>
      <c r="H51" s="2">
        <v>244</v>
      </c>
      <c r="I51" s="2">
        <v>270</v>
      </c>
      <c r="J51" s="2">
        <v>0</v>
      </c>
      <c r="K51" s="2">
        <v>0</v>
      </c>
      <c r="L51" s="2">
        <v>0</v>
      </c>
      <c r="M51" s="2" t="s">
        <v>102</v>
      </c>
      <c r="N51" s="1"/>
    </row>
    <row r="52" spans="1:14" ht="42.75">
      <c r="A52" s="2" t="s">
        <v>19</v>
      </c>
      <c r="B52" s="2" t="s">
        <v>29</v>
      </c>
      <c r="C52" s="7" t="s">
        <v>48</v>
      </c>
      <c r="D52" s="2" t="s">
        <v>27</v>
      </c>
      <c r="E52" s="7" t="s">
        <v>47</v>
      </c>
      <c r="F52" s="2" t="s">
        <v>28</v>
      </c>
      <c r="G52" s="2">
        <v>866</v>
      </c>
      <c r="H52" s="2">
        <v>244</v>
      </c>
      <c r="I52" s="2">
        <v>270</v>
      </c>
      <c r="J52" s="2">
        <v>0</v>
      </c>
      <c r="K52" s="2">
        <v>0</v>
      </c>
      <c r="L52" s="2">
        <v>0</v>
      </c>
      <c r="M52" s="2" t="s">
        <v>102</v>
      </c>
      <c r="N52" s="1"/>
    </row>
    <row r="53" spans="1:14" ht="42.75">
      <c r="A53" s="2" t="s">
        <v>19</v>
      </c>
      <c r="B53" s="2" t="s">
        <v>30</v>
      </c>
      <c r="C53" s="7" t="s">
        <v>49</v>
      </c>
      <c r="D53" s="2" t="s">
        <v>27</v>
      </c>
      <c r="E53" s="7" t="s">
        <v>47</v>
      </c>
      <c r="F53" s="2" t="s">
        <v>28</v>
      </c>
      <c r="G53" s="2">
        <v>866</v>
      </c>
      <c r="H53" s="2">
        <v>244</v>
      </c>
      <c r="I53" s="2">
        <v>270</v>
      </c>
      <c r="J53" s="2">
        <v>0</v>
      </c>
      <c r="K53" s="2">
        <v>0</v>
      </c>
      <c r="L53" s="2">
        <v>0</v>
      </c>
      <c r="M53" s="2" t="s">
        <v>102</v>
      </c>
      <c r="N53" s="1"/>
    </row>
    <row r="54" spans="1:13" s="5" customFormat="1" ht="14.25">
      <c r="A54" s="4"/>
      <c r="F54" s="4" t="s">
        <v>17</v>
      </c>
      <c r="G54" s="5">
        <f>SUM(G51:G53)</f>
        <v>2598</v>
      </c>
      <c r="H54" s="5">
        <f aca="true" t="shared" si="9" ref="H54:M54">SUM(H51:H53)</f>
        <v>732</v>
      </c>
      <c r="I54" s="5">
        <f t="shared" si="9"/>
        <v>810</v>
      </c>
      <c r="J54" s="5">
        <f t="shared" si="9"/>
        <v>0</v>
      </c>
      <c r="K54" s="5">
        <f t="shared" si="9"/>
        <v>0</v>
      </c>
      <c r="L54" s="5">
        <f t="shared" si="9"/>
        <v>0</v>
      </c>
      <c r="M54" s="5">
        <f t="shared" si="9"/>
        <v>0</v>
      </c>
    </row>
    <row r="55" spans="1:12" ht="13.5">
      <c r="A55" s="258" t="s">
        <v>217</v>
      </c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</row>
    <row r="56" spans="1:14" ht="28.5">
      <c r="A56" s="1" t="s">
        <v>2</v>
      </c>
      <c r="B56" s="1" t="s">
        <v>3</v>
      </c>
      <c r="C56" s="1" t="s">
        <v>4</v>
      </c>
      <c r="D56" s="1" t="s">
        <v>5</v>
      </c>
      <c r="E56" s="1" t="s">
        <v>6</v>
      </c>
      <c r="F56" s="1" t="s">
        <v>7</v>
      </c>
      <c r="G56" s="1" t="s">
        <v>8</v>
      </c>
      <c r="H56" s="1" t="s">
        <v>9</v>
      </c>
      <c r="I56" s="1" t="s">
        <v>10</v>
      </c>
      <c r="J56" s="1" t="s">
        <v>11</v>
      </c>
      <c r="K56" s="1" t="s">
        <v>12</v>
      </c>
      <c r="L56" s="1" t="s">
        <v>13</v>
      </c>
      <c r="M56" s="3" t="s">
        <v>116</v>
      </c>
      <c r="N56" s="1"/>
    </row>
    <row r="57" spans="1:14" ht="42.75">
      <c r="A57" s="2" t="s">
        <v>39</v>
      </c>
      <c r="B57" s="2" t="s">
        <v>31</v>
      </c>
      <c r="C57" s="7" t="s">
        <v>194</v>
      </c>
      <c r="D57" s="2" t="s">
        <v>32</v>
      </c>
      <c r="E57" s="7" t="s">
        <v>218</v>
      </c>
      <c r="F57" s="2" t="s">
        <v>42</v>
      </c>
      <c r="G57" s="2">
        <v>289</v>
      </c>
      <c r="H57" s="2">
        <v>81</v>
      </c>
      <c r="I57" s="2">
        <v>90</v>
      </c>
      <c r="J57" s="2">
        <v>0</v>
      </c>
      <c r="K57" s="2">
        <v>0</v>
      </c>
      <c r="L57" s="2">
        <v>0</v>
      </c>
      <c r="M57" s="2" t="s">
        <v>102</v>
      </c>
      <c r="N57" s="1"/>
    </row>
    <row r="58" spans="1:14" ht="42.75">
      <c r="A58" s="2" t="s">
        <v>39</v>
      </c>
      <c r="B58" s="2" t="s">
        <v>33</v>
      </c>
      <c r="C58" s="7" t="s">
        <v>162</v>
      </c>
      <c r="D58" s="2" t="s">
        <v>32</v>
      </c>
      <c r="E58" s="7" t="s">
        <v>218</v>
      </c>
      <c r="F58" s="2" t="s">
        <v>42</v>
      </c>
      <c r="G58" s="2">
        <v>289</v>
      </c>
      <c r="H58" s="2">
        <v>81</v>
      </c>
      <c r="I58" s="2">
        <v>90</v>
      </c>
      <c r="J58" s="2">
        <v>0</v>
      </c>
      <c r="K58" s="2">
        <v>0</v>
      </c>
      <c r="L58" s="2">
        <v>0</v>
      </c>
      <c r="M58" s="2" t="s">
        <v>102</v>
      </c>
      <c r="N58" s="1"/>
    </row>
    <row r="59" spans="1:14" ht="42.75">
      <c r="A59" s="2" t="s">
        <v>39</v>
      </c>
      <c r="B59" s="2" t="s">
        <v>34</v>
      </c>
      <c r="C59" s="7" t="s">
        <v>219</v>
      </c>
      <c r="D59" s="2" t="s">
        <v>32</v>
      </c>
      <c r="E59" s="7" t="s">
        <v>218</v>
      </c>
      <c r="F59" s="2" t="s">
        <v>42</v>
      </c>
      <c r="G59" s="2">
        <v>289</v>
      </c>
      <c r="H59" s="2">
        <v>81</v>
      </c>
      <c r="I59" s="2">
        <v>90</v>
      </c>
      <c r="J59" s="2">
        <v>0</v>
      </c>
      <c r="K59" s="2">
        <v>0</v>
      </c>
      <c r="L59" s="2">
        <v>0</v>
      </c>
      <c r="M59" s="2" t="s">
        <v>102</v>
      </c>
      <c r="N59" s="1"/>
    </row>
    <row r="60" spans="1:13" s="5" customFormat="1" ht="14.25">
      <c r="A60" s="4"/>
      <c r="F60" s="4" t="s">
        <v>17</v>
      </c>
      <c r="G60" s="5">
        <f aca="true" t="shared" si="10" ref="G60:M60">SUM(G57:G59)</f>
        <v>867</v>
      </c>
      <c r="H60" s="5">
        <f t="shared" si="10"/>
        <v>243</v>
      </c>
      <c r="I60" s="5">
        <f t="shared" si="10"/>
        <v>270</v>
      </c>
      <c r="J60" s="5">
        <f t="shared" si="10"/>
        <v>0</v>
      </c>
      <c r="K60" s="5">
        <f t="shared" si="10"/>
        <v>0</v>
      </c>
      <c r="L60" s="5">
        <f t="shared" si="10"/>
        <v>0</v>
      </c>
      <c r="M60" s="5">
        <f t="shared" si="10"/>
        <v>0</v>
      </c>
    </row>
    <row r="61" spans="6:13" s="5" customFormat="1" ht="15" thickBot="1">
      <c r="F61" s="6" t="s">
        <v>18</v>
      </c>
      <c r="G61" s="19">
        <f>G54+G60</f>
        <v>3465</v>
      </c>
      <c r="H61" s="21">
        <f aca="true" t="shared" si="11" ref="H61:M61">H54+H60</f>
        <v>975</v>
      </c>
      <c r="I61" s="19">
        <f t="shared" si="11"/>
        <v>1080</v>
      </c>
      <c r="J61" s="21">
        <f t="shared" si="11"/>
        <v>0</v>
      </c>
      <c r="K61" s="21">
        <f t="shared" si="11"/>
        <v>0</v>
      </c>
      <c r="L61" s="21">
        <f t="shared" si="11"/>
        <v>0</v>
      </c>
      <c r="M61" s="21">
        <f t="shared" si="11"/>
        <v>0</v>
      </c>
    </row>
    <row r="62" ht="13.5" thickTop="1"/>
    <row r="64" spans="1:12" ht="12.75">
      <c r="A64" s="258" t="s">
        <v>195</v>
      </c>
      <c r="B64" s="259"/>
      <c r="C64" s="259"/>
      <c r="D64" s="259"/>
      <c r="E64" s="259"/>
      <c r="F64" s="259"/>
      <c r="G64" s="259"/>
      <c r="H64" s="259"/>
      <c r="I64" s="259"/>
      <c r="J64" s="259"/>
      <c r="K64" s="259"/>
      <c r="L64" s="259"/>
    </row>
    <row r="65" spans="1:14" ht="28.5">
      <c r="A65" s="1" t="s">
        <v>2</v>
      </c>
      <c r="B65" s="1" t="s">
        <v>3</v>
      </c>
      <c r="C65" s="1" t="s">
        <v>4</v>
      </c>
      <c r="D65" s="1" t="s">
        <v>5</v>
      </c>
      <c r="E65" s="1" t="s">
        <v>6</v>
      </c>
      <c r="F65" s="1" t="s">
        <v>7</v>
      </c>
      <c r="G65" s="1" t="s">
        <v>8</v>
      </c>
      <c r="H65" s="1" t="s">
        <v>9</v>
      </c>
      <c r="I65" s="1" t="s">
        <v>10</v>
      </c>
      <c r="J65" s="1" t="s">
        <v>11</v>
      </c>
      <c r="K65" s="1" t="s">
        <v>12</v>
      </c>
      <c r="L65" s="1" t="s">
        <v>13</v>
      </c>
      <c r="M65" s="3" t="s">
        <v>220</v>
      </c>
      <c r="N65" s="1"/>
    </row>
    <row r="66" spans="1:14" ht="42.75">
      <c r="A66" s="2" t="s">
        <v>104</v>
      </c>
      <c r="B66" s="2" t="s">
        <v>35</v>
      </c>
      <c r="C66" s="7" t="s">
        <v>50</v>
      </c>
      <c r="D66" s="2" t="s">
        <v>51</v>
      </c>
      <c r="E66" s="7" t="s">
        <v>221</v>
      </c>
      <c r="F66" s="2" t="s">
        <v>222</v>
      </c>
      <c r="G66" s="2">
        <v>788</v>
      </c>
      <c r="H66" s="2">
        <v>222</v>
      </c>
      <c r="I66" s="2">
        <v>0</v>
      </c>
      <c r="J66" s="2">
        <v>0</v>
      </c>
      <c r="K66" s="2">
        <v>1047</v>
      </c>
      <c r="L66" s="2">
        <v>1300</v>
      </c>
      <c r="M66" s="2" t="s">
        <v>102</v>
      </c>
      <c r="N66" s="1"/>
    </row>
    <row r="67" spans="1:14" ht="57">
      <c r="A67" s="2" t="s">
        <v>105</v>
      </c>
      <c r="B67" s="2" t="s">
        <v>35</v>
      </c>
      <c r="C67" s="7" t="s">
        <v>50</v>
      </c>
      <c r="D67" s="2">
        <v>5197213</v>
      </c>
      <c r="E67" s="7" t="s">
        <v>58</v>
      </c>
      <c r="F67" s="2" t="s">
        <v>59</v>
      </c>
      <c r="G67" s="2">
        <v>2982</v>
      </c>
      <c r="H67" s="2">
        <v>840</v>
      </c>
      <c r="I67" s="2">
        <v>0</v>
      </c>
      <c r="J67" s="2">
        <v>0</v>
      </c>
      <c r="K67" s="2">
        <v>856</v>
      </c>
      <c r="L67" s="2">
        <v>1064</v>
      </c>
      <c r="M67" s="2" t="s">
        <v>102</v>
      </c>
      <c r="N67" s="1"/>
    </row>
    <row r="68" spans="1:13" s="5" customFormat="1" ht="14.25">
      <c r="A68" s="4"/>
      <c r="F68" s="4" t="s">
        <v>17</v>
      </c>
      <c r="G68" s="5">
        <f aca="true" t="shared" si="12" ref="G68:M68">SUM(G66:G67)</f>
        <v>3770</v>
      </c>
      <c r="H68" s="5">
        <f t="shared" si="12"/>
        <v>1062</v>
      </c>
      <c r="I68" s="5">
        <f t="shared" si="12"/>
        <v>0</v>
      </c>
      <c r="J68" s="5">
        <f t="shared" si="12"/>
        <v>0</v>
      </c>
      <c r="K68" s="5">
        <f t="shared" si="12"/>
        <v>1903</v>
      </c>
      <c r="L68" s="5">
        <f t="shared" si="12"/>
        <v>2364</v>
      </c>
      <c r="M68" s="5">
        <f t="shared" si="12"/>
        <v>0</v>
      </c>
    </row>
    <row r="69" spans="1:12" ht="13.5">
      <c r="A69" s="258" t="s">
        <v>53</v>
      </c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</row>
    <row r="70" spans="1:14" ht="28.5">
      <c r="A70" s="1" t="s">
        <v>2</v>
      </c>
      <c r="B70" s="1" t="s">
        <v>3</v>
      </c>
      <c r="C70" s="1" t="s">
        <v>4</v>
      </c>
      <c r="D70" s="1" t="s">
        <v>5</v>
      </c>
      <c r="E70" s="1" t="s">
        <v>6</v>
      </c>
      <c r="F70" s="1" t="s">
        <v>7</v>
      </c>
      <c r="G70" s="1" t="s">
        <v>8</v>
      </c>
      <c r="H70" s="1" t="s">
        <v>9</v>
      </c>
      <c r="I70" s="1" t="s">
        <v>10</v>
      </c>
      <c r="J70" s="1" t="s">
        <v>11</v>
      </c>
      <c r="K70" s="1" t="s">
        <v>12</v>
      </c>
      <c r="L70" s="1" t="s">
        <v>13</v>
      </c>
      <c r="M70" s="3" t="s">
        <v>54</v>
      </c>
      <c r="N70" s="1"/>
    </row>
    <row r="71" spans="1:14" ht="42.75">
      <c r="A71" s="2" t="s">
        <v>104</v>
      </c>
      <c r="B71" s="2" t="s">
        <v>35</v>
      </c>
      <c r="C71" s="7" t="s">
        <v>50</v>
      </c>
      <c r="D71" s="2" t="s">
        <v>51</v>
      </c>
      <c r="E71" s="7" t="s">
        <v>221</v>
      </c>
      <c r="F71" s="2" t="s">
        <v>222</v>
      </c>
      <c r="G71" s="2">
        <v>108</v>
      </c>
      <c r="H71" s="2">
        <v>30</v>
      </c>
      <c r="I71" s="2">
        <v>0</v>
      </c>
      <c r="J71" s="2">
        <v>0</v>
      </c>
      <c r="K71" s="2">
        <v>69</v>
      </c>
      <c r="L71" s="2">
        <v>85</v>
      </c>
      <c r="M71" s="2" t="s">
        <v>102</v>
      </c>
      <c r="N71" s="1"/>
    </row>
    <row r="72" spans="1:14" ht="57">
      <c r="A72" s="2" t="s">
        <v>105</v>
      </c>
      <c r="B72" s="2" t="s">
        <v>35</v>
      </c>
      <c r="C72" s="7" t="s">
        <v>50</v>
      </c>
      <c r="D72" s="2">
        <v>5197213</v>
      </c>
      <c r="E72" s="7" t="s">
        <v>58</v>
      </c>
      <c r="F72" s="2" t="s">
        <v>59</v>
      </c>
      <c r="G72" s="2">
        <v>2874</v>
      </c>
      <c r="H72" s="2">
        <v>810</v>
      </c>
      <c r="I72" s="2">
        <v>0</v>
      </c>
      <c r="J72" s="2">
        <v>0</v>
      </c>
      <c r="K72" s="2">
        <v>1834</v>
      </c>
      <c r="L72" s="2">
        <v>2279</v>
      </c>
      <c r="M72" s="2" t="s">
        <v>102</v>
      </c>
      <c r="N72" s="1"/>
    </row>
    <row r="73" spans="1:13" s="5" customFormat="1" ht="14.25">
      <c r="A73" s="4"/>
      <c r="F73" s="4" t="s">
        <v>17</v>
      </c>
      <c r="G73" s="5">
        <f aca="true" t="shared" si="13" ref="G73:M73">SUM(G71:G72)</f>
        <v>2982</v>
      </c>
      <c r="H73" s="5">
        <f t="shared" si="13"/>
        <v>840</v>
      </c>
      <c r="I73" s="5">
        <f t="shared" si="13"/>
        <v>0</v>
      </c>
      <c r="J73" s="5">
        <f t="shared" si="13"/>
        <v>0</v>
      </c>
      <c r="K73" s="5">
        <f t="shared" si="13"/>
        <v>1903</v>
      </c>
      <c r="L73" s="5">
        <f t="shared" si="13"/>
        <v>2364</v>
      </c>
      <c r="M73" s="5">
        <f t="shared" si="13"/>
        <v>0</v>
      </c>
    </row>
    <row r="74" spans="6:13" s="5" customFormat="1" ht="15" thickBot="1">
      <c r="F74" s="6" t="s">
        <v>18</v>
      </c>
      <c r="G74" s="19">
        <f aca="true" t="shared" si="14" ref="G74:M74">G68+G73</f>
        <v>6752</v>
      </c>
      <c r="H74" s="21">
        <f t="shared" si="14"/>
        <v>1902</v>
      </c>
      <c r="I74" s="19">
        <f t="shared" si="14"/>
        <v>0</v>
      </c>
      <c r="J74" s="21">
        <f t="shared" si="14"/>
        <v>0</v>
      </c>
      <c r="K74" s="21">
        <f t="shared" si="14"/>
        <v>3806</v>
      </c>
      <c r="L74" s="21">
        <f t="shared" si="14"/>
        <v>4728</v>
      </c>
      <c r="M74" s="21">
        <f t="shared" si="14"/>
        <v>0</v>
      </c>
    </row>
    <row r="75" ht="13.5" thickTop="1"/>
    <row r="76" spans="1:12" ht="12.75">
      <c r="A76" s="258" t="s">
        <v>195</v>
      </c>
      <c r="B76" s="259"/>
      <c r="C76" s="259"/>
      <c r="D76" s="259"/>
      <c r="E76" s="259"/>
      <c r="F76" s="259"/>
      <c r="G76" s="259"/>
      <c r="H76" s="259"/>
      <c r="I76" s="259"/>
      <c r="J76" s="259"/>
      <c r="K76" s="259"/>
      <c r="L76" s="259"/>
    </row>
    <row r="77" spans="1:14" ht="28.5">
      <c r="A77" s="1" t="s">
        <v>2</v>
      </c>
      <c r="B77" s="1" t="s">
        <v>3</v>
      </c>
      <c r="C77" s="1" t="s">
        <v>4</v>
      </c>
      <c r="D77" s="1" t="s">
        <v>5</v>
      </c>
      <c r="E77" s="1" t="s">
        <v>6</v>
      </c>
      <c r="F77" s="1" t="s">
        <v>7</v>
      </c>
      <c r="G77" s="1" t="s">
        <v>8</v>
      </c>
      <c r="H77" s="1" t="s">
        <v>9</v>
      </c>
      <c r="I77" s="1" t="s">
        <v>10</v>
      </c>
      <c r="J77" s="1" t="s">
        <v>11</v>
      </c>
      <c r="K77" s="1" t="s">
        <v>12</v>
      </c>
      <c r="L77" s="1" t="s">
        <v>13</v>
      </c>
      <c r="M77" s="3" t="s">
        <v>220</v>
      </c>
      <c r="N77" s="1"/>
    </row>
    <row r="78" spans="1:14" ht="42.75">
      <c r="A78" s="2" t="s">
        <v>104</v>
      </c>
      <c r="B78" s="2" t="s">
        <v>36</v>
      </c>
      <c r="C78" s="7" t="s">
        <v>52</v>
      </c>
      <c r="D78" s="2" t="s">
        <v>51</v>
      </c>
      <c r="E78" s="7" t="s">
        <v>221</v>
      </c>
      <c r="F78" s="2" t="s">
        <v>106</v>
      </c>
      <c r="G78" s="2">
        <v>788</v>
      </c>
      <c r="H78" s="2">
        <v>222</v>
      </c>
      <c r="I78" s="2">
        <v>0</v>
      </c>
      <c r="J78" s="2">
        <v>0</v>
      </c>
      <c r="K78" s="2">
        <v>0</v>
      </c>
      <c r="L78" s="2">
        <v>0</v>
      </c>
      <c r="M78" s="2" t="s">
        <v>102</v>
      </c>
      <c r="N78" s="1"/>
    </row>
    <row r="79" spans="1:14" ht="63.75">
      <c r="A79" s="2" t="s">
        <v>105</v>
      </c>
      <c r="B79" s="2" t="s">
        <v>36</v>
      </c>
      <c r="C79" s="7" t="s">
        <v>52</v>
      </c>
      <c r="D79" s="2">
        <v>3200038</v>
      </c>
      <c r="E79" s="7" t="s">
        <v>37</v>
      </c>
      <c r="F79" s="2" t="s">
        <v>223</v>
      </c>
      <c r="G79" s="2">
        <v>1067</v>
      </c>
      <c r="H79" s="2">
        <v>301</v>
      </c>
      <c r="I79" s="2">
        <v>0</v>
      </c>
      <c r="J79" s="2">
        <v>0</v>
      </c>
      <c r="K79" s="2">
        <v>0</v>
      </c>
      <c r="L79" s="2">
        <v>0</v>
      </c>
      <c r="M79" s="2" t="s">
        <v>102</v>
      </c>
      <c r="N79" s="1"/>
    </row>
    <row r="80" spans="1:13" s="5" customFormat="1" ht="14.25">
      <c r="A80" s="4"/>
      <c r="F80" s="4" t="s">
        <v>17</v>
      </c>
      <c r="G80" s="5">
        <f aca="true" t="shared" si="15" ref="G80:M80">SUM(G78:G79)</f>
        <v>1855</v>
      </c>
      <c r="H80" s="5">
        <f t="shared" si="15"/>
        <v>523</v>
      </c>
      <c r="I80" s="5">
        <f t="shared" si="15"/>
        <v>0</v>
      </c>
      <c r="J80" s="5">
        <f t="shared" si="15"/>
        <v>0</v>
      </c>
      <c r="K80" s="5">
        <f t="shared" si="15"/>
        <v>0</v>
      </c>
      <c r="L80" s="5">
        <f t="shared" si="15"/>
        <v>0</v>
      </c>
      <c r="M80" s="5">
        <f t="shared" si="15"/>
        <v>0</v>
      </c>
    </row>
    <row r="81" spans="1:12" ht="13.5">
      <c r="A81" s="258" t="s">
        <v>53</v>
      </c>
      <c r="B81" s="259"/>
      <c r="C81" s="259"/>
      <c r="D81" s="259"/>
      <c r="E81" s="259"/>
      <c r="F81" s="259"/>
      <c r="G81" s="259"/>
      <c r="H81" s="259"/>
      <c r="I81" s="259"/>
      <c r="J81" s="259"/>
      <c r="K81" s="259"/>
      <c r="L81" s="259"/>
    </row>
    <row r="82" spans="1:14" ht="28.5">
      <c r="A82" s="1" t="s">
        <v>2</v>
      </c>
      <c r="B82" s="1" t="s">
        <v>3</v>
      </c>
      <c r="C82" s="1" t="s">
        <v>4</v>
      </c>
      <c r="D82" s="1" t="s">
        <v>5</v>
      </c>
      <c r="E82" s="1" t="s">
        <v>6</v>
      </c>
      <c r="F82" s="1" t="s">
        <v>7</v>
      </c>
      <c r="G82" s="1" t="s">
        <v>8</v>
      </c>
      <c r="H82" s="1" t="s">
        <v>9</v>
      </c>
      <c r="I82" s="1" t="s">
        <v>10</v>
      </c>
      <c r="J82" s="1" t="s">
        <v>11</v>
      </c>
      <c r="K82" s="1" t="s">
        <v>12</v>
      </c>
      <c r="L82" s="1" t="s">
        <v>13</v>
      </c>
      <c r="M82" s="3" t="s">
        <v>54</v>
      </c>
      <c r="N82" s="1"/>
    </row>
    <row r="83" spans="1:14" ht="42.75">
      <c r="A83" s="2" t="s">
        <v>104</v>
      </c>
      <c r="B83" s="2" t="s">
        <v>36</v>
      </c>
      <c r="C83" s="7" t="s">
        <v>52</v>
      </c>
      <c r="D83" s="2" t="s">
        <v>51</v>
      </c>
      <c r="E83" s="7" t="s">
        <v>221</v>
      </c>
      <c r="F83" s="2" t="s">
        <v>106</v>
      </c>
      <c r="G83" s="2">
        <v>66</v>
      </c>
      <c r="H83" s="2">
        <v>19</v>
      </c>
      <c r="I83" s="2">
        <v>0</v>
      </c>
      <c r="J83" s="2">
        <v>0</v>
      </c>
      <c r="K83" s="2">
        <v>0</v>
      </c>
      <c r="L83" s="2">
        <v>0</v>
      </c>
      <c r="M83" s="2" t="s">
        <v>102</v>
      </c>
      <c r="N83" s="1"/>
    </row>
    <row r="84" spans="1:14" ht="63.75">
      <c r="A84" s="2" t="s">
        <v>105</v>
      </c>
      <c r="B84" s="2" t="s">
        <v>36</v>
      </c>
      <c r="C84" s="7" t="s">
        <v>52</v>
      </c>
      <c r="D84" s="2">
        <v>3200038</v>
      </c>
      <c r="E84" s="7" t="s">
        <v>37</v>
      </c>
      <c r="F84" s="2" t="s">
        <v>223</v>
      </c>
      <c r="G84" s="2">
        <v>3186</v>
      </c>
      <c r="H84" s="2">
        <v>897</v>
      </c>
      <c r="I84" s="2">
        <v>0</v>
      </c>
      <c r="J84" s="2">
        <v>0</v>
      </c>
      <c r="K84" s="2">
        <v>0</v>
      </c>
      <c r="L84" s="2">
        <v>0</v>
      </c>
      <c r="M84" s="2" t="s">
        <v>102</v>
      </c>
      <c r="N84" s="1"/>
    </row>
    <row r="85" spans="1:13" s="5" customFormat="1" ht="14.25">
      <c r="A85" s="4"/>
      <c r="F85" s="4" t="s">
        <v>17</v>
      </c>
      <c r="G85" s="5">
        <f aca="true" t="shared" si="16" ref="G85:M85">SUM(G83:G84)</f>
        <v>3252</v>
      </c>
      <c r="H85" s="5">
        <f t="shared" si="16"/>
        <v>916</v>
      </c>
      <c r="I85" s="5">
        <f t="shared" si="16"/>
        <v>0</v>
      </c>
      <c r="J85" s="5">
        <f t="shared" si="16"/>
        <v>0</v>
      </c>
      <c r="K85" s="5">
        <f t="shared" si="16"/>
        <v>0</v>
      </c>
      <c r="L85" s="5">
        <f t="shared" si="16"/>
        <v>0</v>
      </c>
      <c r="M85" s="5">
        <f t="shared" si="16"/>
        <v>0</v>
      </c>
    </row>
    <row r="86" spans="6:13" s="5" customFormat="1" ht="15" thickBot="1">
      <c r="F86" s="6" t="s">
        <v>18</v>
      </c>
      <c r="G86" s="19">
        <f aca="true" t="shared" si="17" ref="G86:M86">G80+G85</f>
        <v>5107</v>
      </c>
      <c r="H86" s="21">
        <f t="shared" si="17"/>
        <v>1439</v>
      </c>
      <c r="I86" s="19">
        <f t="shared" si="17"/>
        <v>0</v>
      </c>
      <c r="J86" s="21">
        <f t="shared" si="17"/>
        <v>0</v>
      </c>
      <c r="K86" s="21">
        <f t="shared" si="17"/>
        <v>0</v>
      </c>
      <c r="L86" s="21">
        <f t="shared" si="17"/>
        <v>0</v>
      </c>
      <c r="M86" s="21">
        <f t="shared" si="17"/>
        <v>0</v>
      </c>
    </row>
    <row r="87" ht="13.5" thickTop="1"/>
    <row r="89" spans="1:12" ht="13.5">
      <c r="A89" s="258" t="s">
        <v>53</v>
      </c>
      <c r="B89" s="259"/>
      <c r="C89" s="259"/>
      <c r="D89" s="259"/>
      <c r="E89" s="259"/>
      <c r="F89" s="259"/>
      <c r="G89" s="259"/>
      <c r="H89" s="259"/>
      <c r="I89" s="259"/>
      <c r="J89" s="259"/>
      <c r="K89" s="259"/>
      <c r="L89" s="259"/>
    </row>
    <row r="90" spans="1:14" ht="28.5">
      <c r="A90" s="1" t="s">
        <v>2</v>
      </c>
      <c r="B90" s="1" t="s">
        <v>3</v>
      </c>
      <c r="C90" s="1" t="s">
        <v>4</v>
      </c>
      <c r="D90" s="1" t="s">
        <v>5</v>
      </c>
      <c r="E90" s="1" t="s">
        <v>6</v>
      </c>
      <c r="F90" s="1" t="s">
        <v>7</v>
      </c>
      <c r="G90" s="1" t="s">
        <v>8</v>
      </c>
      <c r="H90" s="1" t="s">
        <v>9</v>
      </c>
      <c r="I90" s="1" t="s">
        <v>10</v>
      </c>
      <c r="J90" s="1" t="s">
        <v>11</v>
      </c>
      <c r="K90" s="1" t="s">
        <v>12</v>
      </c>
      <c r="L90" s="1" t="s">
        <v>13</v>
      </c>
      <c r="M90" s="3" t="s">
        <v>54</v>
      </c>
      <c r="N90" s="1"/>
    </row>
    <row r="91" spans="1:14" ht="42.75">
      <c r="A91" s="2" t="s">
        <v>224</v>
      </c>
      <c r="B91" s="2" t="s">
        <v>38</v>
      </c>
      <c r="C91" s="7" t="s">
        <v>163</v>
      </c>
      <c r="D91" s="2">
        <v>514202</v>
      </c>
      <c r="E91" s="7" t="s">
        <v>45</v>
      </c>
      <c r="F91" s="2" t="s">
        <v>225</v>
      </c>
      <c r="G91" s="2">
        <v>1287</v>
      </c>
      <c r="H91" s="2">
        <v>363</v>
      </c>
      <c r="I91" s="2">
        <v>990</v>
      </c>
      <c r="J91" s="2">
        <v>0</v>
      </c>
      <c r="K91" s="2">
        <v>0</v>
      </c>
      <c r="L91" s="2">
        <v>0</v>
      </c>
      <c r="M91" s="2" t="s">
        <v>102</v>
      </c>
      <c r="N91" s="1"/>
    </row>
    <row r="92" spans="1:14" ht="42.75">
      <c r="A92" s="2" t="s">
        <v>224</v>
      </c>
      <c r="B92" s="2" t="s">
        <v>38</v>
      </c>
      <c r="C92" s="7" t="s">
        <v>163</v>
      </c>
      <c r="D92" s="2">
        <v>514202</v>
      </c>
      <c r="E92" s="7" t="s">
        <v>45</v>
      </c>
      <c r="F92" s="2" t="s">
        <v>142</v>
      </c>
      <c r="G92" s="2">
        <v>585</v>
      </c>
      <c r="H92" s="2">
        <v>165</v>
      </c>
      <c r="I92" s="2">
        <v>450</v>
      </c>
      <c r="J92" s="2">
        <v>0</v>
      </c>
      <c r="K92" s="2">
        <v>0</v>
      </c>
      <c r="L92" s="2">
        <v>0</v>
      </c>
      <c r="M92" s="2" t="s">
        <v>102</v>
      </c>
      <c r="N92" s="1"/>
    </row>
    <row r="93" spans="1:13" s="5" customFormat="1" ht="14.25">
      <c r="A93" s="4"/>
      <c r="F93" s="4" t="s">
        <v>17</v>
      </c>
      <c r="G93" s="5">
        <f aca="true" t="shared" si="18" ref="G93:M93">SUM(G91:G92)</f>
        <v>1872</v>
      </c>
      <c r="H93" s="5">
        <f t="shared" si="18"/>
        <v>528</v>
      </c>
      <c r="I93" s="5">
        <f t="shared" si="18"/>
        <v>1440</v>
      </c>
      <c r="J93" s="5">
        <f t="shared" si="18"/>
        <v>0</v>
      </c>
      <c r="K93" s="5">
        <f t="shared" si="18"/>
        <v>0</v>
      </c>
      <c r="L93" s="5">
        <f t="shared" si="18"/>
        <v>0</v>
      </c>
      <c r="M93" s="5">
        <f t="shared" si="18"/>
        <v>0</v>
      </c>
    </row>
    <row r="94" spans="6:13" s="5" customFormat="1" ht="15" thickBot="1">
      <c r="F94" s="6" t="s">
        <v>18</v>
      </c>
      <c r="G94" s="19">
        <f aca="true" t="shared" si="19" ref="G94:M94">G88+G93</f>
        <v>1872</v>
      </c>
      <c r="H94" s="21">
        <f t="shared" si="19"/>
        <v>528</v>
      </c>
      <c r="I94" s="19">
        <f t="shared" si="19"/>
        <v>1440</v>
      </c>
      <c r="J94" s="21">
        <f t="shared" si="19"/>
        <v>0</v>
      </c>
      <c r="K94" s="21">
        <f t="shared" si="19"/>
        <v>0</v>
      </c>
      <c r="L94" s="21">
        <f t="shared" si="19"/>
        <v>0</v>
      </c>
      <c r="M94" s="21">
        <f t="shared" si="19"/>
        <v>0</v>
      </c>
    </row>
    <row r="95" ht="13.5" thickTop="1"/>
    <row r="97" ht="12.75">
      <c r="A97" s="16">
        <v>10908</v>
      </c>
    </row>
    <row r="98" spans="1:15" ht="28.5">
      <c r="A98" s="8" t="s">
        <v>72</v>
      </c>
      <c r="B98" s="8" t="s">
        <v>226</v>
      </c>
      <c r="C98" s="8" t="s">
        <v>73</v>
      </c>
      <c r="D98" s="8" t="s">
        <v>74</v>
      </c>
      <c r="E98" s="8" t="s">
        <v>75</v>
      </c>
      <c r="F98" s="8" t="s">
        <v>76</v>
      </c>
      <c r="G98" s="8" t="s">
        <v>77</v>
      </c>
      <c r="H98" s="12" t="s">
        <v>86</v>
      </c>
      <c r="I98" s="12" t="s">
        <v>87</v>
      </c>
      <c r="J98" s="12" t="s">
        <v>88</v>
      </c>
      <c r="K98" s="12" t="s">
        <v>89</v>
      </c>
      <c r="L98" s="12" t="s">
        <v>90</v>
      </c>
      <c r="M98" s="12" t="s">
        <v>91</v>
      </c>
      <c r="N98" s="12"/>
      <c r="O98" s="12" t="s">
        <v>227</v>
      </c>
    </row>
    <row r="99" spans="1:15" ht="13.5">
      <c r="A99" s="13" t="s">
        <v>107</v>
      </c>
      <c r="B99" s="9" t="s">
        <v>61</v>
      </c>
      <c r="C99" s="13" t="s">
        <v>92</v>
      </c>
      <c r="D99" s="13">
        <v>512218</v>
      </c>
      <c r="E99" s="13" t="s">
        <v>93</v>
      </c>
      <c r="F99" s="13">
        <v>2402</v>
      </c>
      <c r="G99" s="13" t="s">
        <v>94</v>
      </c>
      <c r="H99" s="13">
        <v>770</v>
      </c>
      <c r="I99" s="13">
        <v>217</v>
      </c>
      <c r="J99" s="13">
        <v>592</v>
      </c>
      <c r="K99" s="13">
        <v>0</v>
      </c>
      <c r="L99" s="13">
        <v>560</v>
      </c>
      <c r="M99" s="13">
        <v>1240</v>
      </c>
      <c r="N99" s="13"/>
      <c r="O99" s="13"/>
    </row>
    <row r="100" spans="1:15" ht="12.75">
      <c r="A100" s="49" t="s">
        <v>60</v>
      </c>
      <c r="B100" s="9" t="s">
        <v>61</v>
      </c>
      <c r="C100" s="49" t="s">
        <v>62</v>
      </c>
      <c r="D100" s="49" t="s">
        <v>63</v>
      </c>
      <c r="E100" s="49"/>
      <c r="F100" s="49"/>
      <c r="G100" s="49"/>
      <c r="H100" s="49">
        <v>962</v>
      </c>
      <c r="I100" s="49">
        <v>271</v>
      </c>
      <c r="J100" s="49">
        <v>741</v>
      </c>
      <c r="K100" s="49">
        <v>0</v>
      </c>
      <c r="L100" s="49">
        <v>498</v>
      </c>
      <c r="M100" s="49">
        <v>100</v>
      </c>
      <c r="N100" s="49"/>
      <c r="O100" s="49" t="s">
        <v>85</v>
      </c>
    </row>
    <row r="101" spans="7:14" ht="15" thickBot="1">
      <c r="G101" s="6" t="s">
        <v>18</v>
      </c>
      <c r="H101" s="19">
        <f aca="true" t="shared" si="20" ref="H101:M101">SUM(H99:H100)</f>
        <v>1732</v>
      </c>
      <c r="I101" s="19">
        <f t="shared" si="20"/>
        <v>488</v>
      </c>
      <c r="J101" s="19">
        <f t="shared" si="20"/>
        <v>1333</v>
      </c>
      <c r="K101" s="19">
        <f t="shared" si="20"/>
        <v>0</v>
      </c>
      <c r="L101" s="19">
        <f t="shared" si="20"/>
        <v>1058</v>
      </c>
      <c r="M101" s="19">
        <f t="shared" si="20"/>
        <v>1340</v>
      </c>
      <c r="N101" s="21"/>
    </row>
    <row r="102" ht="13.5" thickTop="1"/>
    <row r="103" ht="12.75">
      <c r="A103" s="16">
        <v>10909</v>
      </c>
    </row>
    <row r="104" spans="1:15" ht="13.5">
      <c r="A104" s="8" t="s">
        <v>72</v>
      </c>
      <c r="B104" s="8" t="s">
        <v>226</v>
      </c>
      <c r="C104" s="8" t="s">
        <v>73</v>
      </c>
      <c r="D104" s="8" t="s">
        <v>74</v>
      </c>
      <c r="E104" s="8" t="s">
        <v>75</v>
      </c>
      <c r="F104" s="8" t="s">
        <v>76</v>
      </c>
      <c r="G104" s="8" t="s">
        <v>77</v>
      </c>
      <c r="H104" s="11" t="s">
        <v>78</v>
      </c>
      <c r="I104" s="11" t="s">
        <v>79</v>
      </c>
      <c r="J104" s="11" t="s">
        <v>80</v>
      </c>
      <c r="K104" s="11" t="s">
        <v>81</v>
      </c>
      <c r="L104" s="11" t="s">
        <v>82</v>
      </c>
      <c r="M104" s="11" t="s">
        <v>83</v>
      </c>
      <c r="N104" s="12"/>
      <c r="O104" s="8" t="s">
        <v>84</v>
      </c>
    </row>
    <row r="105" spans="1:15" ht="12.75">
      <c r="A105" s="9" t="s">
        <v>60</v>
      </c>
      <c r="B105" s="9" t="s">
        <v>61</v>
      </c>
      <c r="C105" s="9" t="s">
        <v>62</v>
      </c>
      <c r="D105" s="9" t="s">
        <v>63</v>
      </c>
      <c r="E105" s="9" t="s">
        <v>64</v>
      </c>
      <c r="F105" s="9" t="s">
        <v>65</v>
      </c>
      <c r="G105" s="9" t="s">
        <v>66</v>
      </c>
      <c r="H105" s="10">
        <v>2145</v>
      </c>
      <c r="I105" s="10">
        <v>605</v>
      </c>
      <c r="J105" s="10">
        <v>1822</v>
      </c>
      <c r="K105" s="10">
        <v>0</v>
      </c>
      <c r="L105" s="10">
        <v>1350</v>
      </c>
      <c r="M105" s="10">
        <v>2563</v>
      </c>
      <c r="N105" s="15"/>
      <c r="O105" s="14"/>
    </row>
    <row r="106" spans="1:14" ht="12.75">
      <c r="A106" s="8" t="s">
        <v>67</v>
      </c>
      <c r="B106" s="8" t="s">
        <v>61</v>
      </c>
      <c r="C106" s="8" t="s">
        <v>62</v>
      </c>
      <c r="D106" s="8">
        <v>512218</v>
      </c>
      <c r="E106" s="8" t="s">
        <v>68</v>
      </c>
      <c r="F106" s="8" t="s">
        <v>69</v>
      </c>
      <c r="G106" s="8" t="s">
        <v>70</v>
      </c>
      <c r="H106" s="11">
        <v>171</v>
      </c>
      <c r="I106" s="11">
        <v>48</v>
      </c>
      <c r="J106" s="11">
        <v>146</v>
      </c>
      <c r="K106" s="11">
        <v>0</v>
      </c>
      <c r="L106" s="11">
        <v>0</v>
      </c>
      <c r="M106" s="11">
        <v>0</v>
      </c>
      <c r="N106" s="15"/>
    </row>
    <row r="107" spans="1:14" ht="12.75">
      <c r="A107" s="8" t="s">
        <v>67</v>
      </c>
      <c r="B107" s="8" t="s">
        <v>61</v>
      </c>
      <c r="C107" s="8" t="s">
        <v>62</v>
      </c>
      <c r="D107" s="8">
        <v>512218</v>
      </c>
      <c r="E107" s="8" t="s">
        <v>71</v>
      </c>
      <c r="F107" s="8">
        <v>2402</v>
      </c>
      <c r="G107" s="8" t="s">
        <v>70</v>
      </c>
      <c r="H107" s="11">
        <v>1257</v>
      </c>
      <c r="I107" s="11">
        <v>355</v>
      </c>
      <c r="J107" s="11">
        <v>1068</v>
      </c>
      <c r="K107" s="11">
        <v>0</v>
      </c>
      <c r="L107" s="11">
        <v>900</v>
      </c>
      <c r="M107" s="11">
        <v>1709</v>
      </c>
      <c r="N107" s="15"/>
    </row>
    <row r="108" spans="7:14" ht="15" thickBot="1">
      <c r="G108" s="6" t="s">
        <v>18</v>
      </c>
      <c r="H108" s="19">
        <f aca="true" t="shared" si="21" ref="H108:M108">SUM(H105:H107)</f>
        <v>3573</v>
      </c>
      <c r="I108" s="19">
        <f t="shared" si="21"/>
        <v>1008</v>
      </c>
      <c r="J108" s="19">
        <f t="shared" si="21"/>
        <v>3036</v>
      </c>
      <c r="K108" s="19">
        <f t="shared" si="21"/>
        <v>0</v>
      </c>
      <c r="L108" s="19">
        <f t="shared" si="21"/>
        <v>2250</v>
      </c>
      <c r="M108" s="19">
        <f t="shared" si="21"/>
        <v>4272</v>
      </c>
      <c r="N108" s="21"/>
    </row>
    <row r="109" ht="13.5" thickTop="1"/>
    <row r="111" ht="19.5" customHeight="1"/>
    <row r="112" ht="24.75" customHeight="1">
      <c r="A112" s="26" t="s">
        <v>228</v>
      </c>
    </row>
    <row r="113" spans="1:17" s="22" customFormat="1" ht="27">
      <c r="A113" s="27" t="s">
        <v>127</v>
      </c>
      <c r="B113" s="27" t="s">
        <v>140</v>
      </c>
      <c r="C113" s="27" t="s">
        <v>128</v>
      </c>
      <c r="D113" s="27" t="s">
        <v>129</v>
      </c>
      <c r="E113" s="27" t="s">
        <v>130</v>
      </c>
      <c r="F113" s="27" t="s">
        <v>131</v>
      </c>
      <c r="G113" s="27" t="s">
        <v>132</v>
      </c>
      <c r="H113" s="28" t="s">
        <v>133</v>
      </c>
      <c r="I113" s="28" t="s">
        <v>134</v>
      </c>
      <c r="J113" s="28" t="s">
        <v>135</v>
      </c>
      <c r="K113" s="28" t="s">
        <v>136</v>
      </c>
      <c r="L113" s="28" t="s">
        <v>137</v>
      </c>
      <c r="M113" s="28" t="s">
        <v>138</v>
      </c>
      <c r="N113" s="25"/>
      <c r="O113" s="27" t="s">
        <v>139</v>
      </c>
      <c r="P113" s="29" t="s">
        <v>229</v>
      </c>
      <c r="Q113" s="29" t="s">
        <v>164</v>
      </c>
    </row>
    <row r="114" spans="1:16" s="22" customFormat="1" ht="24.75" customHeight="1">
      <c r="A114" s="22" t="s">
        <v>165</v>
      </c>
      <c r="B114" s="22" t="s">
        <v>96</v>
      </c>
      <c r="C114" s="22" t="s">
        <v>97</v>
      </c>
      <c r="D114" s="22">
        <v>6100044</v>
      </c>
      <c r="E114" s="22" t="s">
        <v>98</v>
      </c>
      <c r="F114" s="22" t="s">
        <v>99</v>
      </c>
      <c r="H114" s="22">
        <v>1171</v>
      </c>
      <c r="I114" s="22">
        <v>330</v>
      </c>
      <c r="J114" s="22">
        <v>901</v>
      </c>
      <c r="K114" s="22">
        <v>0</v>
      </c>
      <c r="L114" s="22">
        <v>0</v>
      </c>
      <c r="M114" s="22">
        <v>0</v>
      </c>
      <c r="O114" s="22" t="s">
        <v>108</v>
      </c>
      <c r="P114" s="22">
        <v>21000</v>
      </c>
    </row>
    <row r="115" spans="8:17" ht="24.75" customHeight="1">
      <c r="H115" s="16" t="s">
        <v>145</v>
      </c>
      <c r="I115" s="16" t="s">
        <v>146</v>
      </c>
      <c r="J115" s="16" t="s">
        <v>147</v>
      </c>
      <c r="O115" s="16" t="s">
        <v>108</v>
      </c>
      <c r="Q115" s="16" t="s">
        <v>230</v>
      </c>
    </row>
    <row r="116" spans="1:16" s="22" customFormat="1" ht="24.75" customHeight="1">
      <c r="A116" s="22" t="s">
        <v>165</v>
      </c>
      <c r="B116" s="22" t="s">
        <v>96</v>
      </c>
      <c r="C116" s="22" t="s">
        <v>97</v>
      </c>
      <c r="D116" s="22">
        <v>6100055</v>
      </c>
      <c r="E116" s="22" t="s">
        <v>100</v>
      </c>
      <c r="F116" s="22" t="s">
        <v>99</v>
      </c>
      <c r="H116" s="22">
        <v>468</v>
      </c>
      <c r="I116" s="22">
        <v>132</v>
      </c>
      <c r="J116" s="22">
        <v>360</v>
      </c>
      <c r="K116" s="22">
        <v>0</v>
      </c>
      <c r="L116" s="22">
        <v>0</v>
      </c>
      <c r="M116" s="22">
        <v>0</v>
      </c>
      <c r="O116" s="22" t="s">
        <v>108</v>
      </c>
      <c r="P116" s="22">
        <v>21000</v>
      </c>
    </row>
    <row r="117" spans="8:17" ht="24.75" customHeight="1">
      <c r="H117" s="16" t="s">
        <v>148</v>
      </c>
      <c r="I117" s="16" t="s">
        <v>149</v>
      </c>
      <c r="J117" s="16" t="s">
        <v>150</v>
      </c>
      <c r="O117" s="16" t="s">
        <v>108</v>
      </c>
      <c r="Q117" s="16" t="s">
        <v>230</v>
      </c>
    </row>
    <row r="118" spans="7:14" s="22" customFormat="1" ht="24.75" customHeight="1" thickBot="1">
      <c r="G118" s="6" t="s">
        <v>18</v>
      </c>
      <c r="H118" s="24">
        <f aca="true" t="shared" si="22" ref="H118:M118">SUM(H113:H116)</f>
        <v>1639</v>
      </c>
      <c r="I118" s="24">
        <f t="shared" si="22"/>
        <v>462</v>
      </c>
      <c r="J118" s="24">
        <f t="shared" si="22"/>
        <v>1261</v>
      </c>
      <c r="K118" s="24">
        <f t="shared" si="22"/>
        <v>0</v>
      </c>
      <c r="L118" s="24">
        <f t="shared" si="22"/>
        <v>0</v>
      </c>
      <c r="M118" s="24">
        <f t="shared" si="22"/>
        <v>0</v>
      </c>
      <c r="N118" s="24"/>
    </row>
    <row r="119" ht="24.75" customHeight="1" thickTop="1"/>
    <row r="120" ht="24.75" customHeight="1">
      <c r="A120" s="26" t="s">
        <v>228</v>
      </c>
    </row>
    <row r="121" spans="1:17" s="31" customFormat="1" ht="27">
      <c r="A121" s="30" t="s">
        <v>127</v>
      </c>
      <c r="B121" s="30" t="s">
        <v>140</v>
      </c>
      <c r="C121" s="30" t="s">
        <v>128</v>
      </c>
      <c r="D121" s="30" t="s">
        <v>129</v>
      </c>
      <c r="E121" s="30" t="s">
        <v>130</v>
      </c>
      <c r="F121" s="30" t="s">
        <v>131</v>
      </c>
      <c r="G121" s="30" t="s">
        <v>132</v>
      </c>
      <c r="H121" s="30" t="s">
        <v>133</v>
      </c>
      <c r="I121" s="30" t="s">
        <v>134</v>
      </c>
      <c r="J121" s="30" t="s">
        <v>135</v>
      </c>
      <c r="K121" s="30" t="s">
        <v>136</v>
      </c>
      <c r="L121" s="30" t="s">
        <v>137</v>
      </c>
      <c r="M121" s="30" t="s">
        <v>138</v>
      </c>
      <c r="N121" s="25"/>
      <c r="O121" s="30" t="s">
        <v>139</v>
      </c>
      <c r="P121" s="29" t="s">
        <v>229</v>
      </c>
      <c r="Q121" s="29" t="s">
        <v>164</v>
      </c>
    </row>
    <row r="122" spans="1:16" ht="24.75" customHeight="1">
      <c r="A122" s="22" t="s">
        <v>196</v>
      </c>
      <c r="B122" s="22" t="s">
        <v>109</v>
      </c>
      <c r="C122" s="22" t="s">
        <v>110</v>
      </c>
      <c r="D122" s="22">
        <v>1100163</v>
      </c>
      <c r="E122" s="22" t="s">
        <v>111</v>
      </c>
      <c r="F122" s="22" t="s">
        <v>95</v>
      </c>
      <c r="G122" s="22" t="s">
        <v>112</v>
      </c>
      <c r="H122" s="22">
        <v>248</v>
      </c>
      <c r="I122" s="22">
        <v>70</v>
      </c>
      <c r="J122" s="22">
        <v>191</v>
      </c>
      <c r="K122" s="23">
        <v>0</v>
      </c>
      <c r="L122" s="23">
        <v>0</v>
      </c>
      <c r="M122" s="23">
        <v>0</v>
      </c>
      <c r="N122" s="22"/>
      <c r="O122" s="22" t="s">
        <v>115</v>
      </c>
      <c r="P122" s="22">
        <v>20540</v>
      </c>
    </row>
    <row r="123" spans="8:17" ht="24.75" customHeight="1">
      <c r="H123" s="16" t="s">
        <v>119</v>
      </c>
      <c r="I123" s="16" t="s">
        <v>121</v>
      </c>
      <c r="J123" s="16" t="s">
        <v>125</v>
      </c>
      <c r="K123" s="17"/>
      <c r="L123" s="17"/>
      <c r="M123" s="17"/>
      <c r="O123" s="16" t="s">
        <v>115</v>
      </c>
      <c r="Q123" s="16" t="s">
        <v>143</v>
      </c>
    </row>
    <row r="124" spans="1:16" ht="24.75" customHeight="1">
      <c r="A124" s="22" t="s">
        <v>231</v>
      </c>
      <c r="B124" s="22" t="s">
        <v>109</v>
      </c>
      <c r="C124" s="22" t="s">
        <v>110</v>
      </c>
      <c r="D124" s="22">
        <v>514202</v>
      </c>
      <c r="E124" s="22" t="s">
        <v>113</v>
      </c>
      <c r="F124" s="22">
        <v>4201</v>
      </c>
      <c r="G124" s="22" t="s">
        <v>114</v>
      </c>
      <c r="H124" s="22">
        <v>1391</v>
      </c>
      <c r="I124" s="22">
        <v>392</v>
      </c>
      <c r="J124" s="22">
        <v>1070</v>
      </c>
      <c r="K124" s="23">
        <v>0</v>
      </c>
      <c r="L124" s="23">
        <v>0</v>
      </c>
      <c r="M124" s="23">
        <v>0</v>
      </c>
      <c r="N124" s="22"/>
      <c r="O124" s="22" t="s">
        <v>108</v>
      </c>
      <c r="P124" s="22">
        <v>20540</v>
      </c>
    </row>
    <row r="125" spans="8:17" ht="24.75" customHeight="1">
      <c r="H125" s="16" t="s">
        <v>197</v>
      </c>
      <c r="I125" s="16" t="s">
        <v>232</v>
      </c>
      <c r="J125" s="16" t="s">
        <v>233</v>
      </c>
      <c r="K125" s="17"/>
      <c r="L125" s="17"/>
      <c r="M125" s="17"/>
      <c r="O125" s="16" t="s">
        <v>117</v>
      </c>
      <c r="Q125" s="16" t="s">
        <v>144</v>
      </c>
    </row>
    <row r="126" spans="8:17" ht="24.75" customHeight="1">
      <c r="H126" s="16" t="s">
        <v>126</v>
      </c>
      <c r="I126" s="16" t="s">
        <v>118</v>
      </c>
      <c r="J126" s="16" t="s">
        <v>123</v>
      </c>
      <c r="K126" s="17"/>
      <c r="L126" s="17"/>
      <c r="M126" s="17"/>
      <c r="O126" s="16" t="s">
        <v>115</v>
      </c>
      <c r="Q126" s="16" t="s">
        <v>143</v>
      </c>
    </row>
    <row r="127" spans="8:13" ht="24.75" customHeight="1">
      <c r="H127" s="16" t="s">
        <v>120</v>
      </c>
      <c r="I127" s="16" t="s">
        <v>122</v>
      </c>
      <c r="J127" s="16" t="s">
        <v>124</v>
      </c>
      <c r="K127" s="17"/>
      <c r="L127" s="17"/>
      <c r="M127" s="17"/>
    </row>
    <row r="128" spans="8:17" ht="24.75" customHeight="1">
      <c r="H128" s="16" t="s">
        <v>234</v>
      </c>
      <c r="I128" s="16" t="s">
        <v>235</v>
      </c>
      <c r="J128" s="16" t="s">
        <v>236</v>
      </c>
      <c r="K128" s="17"/>
      <c r="L128" s="17"/>
      <c r="M128" s="17"/>
      <c r="O128" s="16" t="s">
        <v>108</v>
      </c>
      <c r="Q128" s="16" t="s">
        <v>230</v>
      </c>
    </row>
    <row r="129" spans="7:14" ht="24.75" customHeight="1" thickBot="1">
      <c r="G129" s="6" t="s">
        <v>18</v>
      </c>
      <c r="H129" s="24">
        <f aca="true" t="shared" si="23" ref="H129:M129">SUM(H122+H124)</f>
        <v>1639</v>
      </c>
      <c r="I129" s="24">
        <f t="shared" si="23"/>
        <v>462</v>
      </c>
      <c r="J129" s="24">
        <f t="shared" si="23"/>
        <v>1261</v>
      </c>
      <c r="K129" s="24">
        <f t="shared" si="23"/>
        <v>0</v>
      </c>
      <c r="L129" s="24">
        <f t="shared" si="23"/>
        <v>0</v>
      </c>
      <c r="M129" s="24">
        <f t="shared" si="23"/>
        <v>0</v>
      </c>
      <c r="N129" s="24"/>
    </row>
    <row r="130" ht="24.75" customHeight="1" thickTop="1"/>
    <row r="132" spans="1:15" ht="28.5">
      <c r="A132" s="8" t="s">
        <v>198</v>
      </c>
      <c r="B132" s="8" t="s">
        <v>72</v>
      </c>
      <c r="C132" s="8" t="s">
        <v>73</v>
      </c>
      <c r="D132" s="8" t="s">
        <v>74</v>
      </c>
      <c r="E132" s="8" t="s">
        <v>75</v>
      </c>
      <c r="F132" s="8" t="s">
        <v>76</v>
      </c>
      <c r="G132" s="8" t="s">
        <v>77</v>
      </c>
      <c r="H132" s="12" t="s">
        <v>86</v>
      </c>
      <c r="I132" s="12" t="s">
        <v>87</v>
      </c>
      <c r="J132" s="12" t="s">
        <v>88</v>
      </c>
      <c r="K132" s="12" t="s">
        <v>89</v>
      </c>
      <c r="L132" s="12" t="s">
        <v>90</v>
      </c>
      <c r="M132" s="12" t="s">
        <v>91</v>
      </c>
      <c r="O132" s="16" t="s">
        <v>237</v>
      </c>
    </row>
    <row r="133" spans="1:15" s="22" customFormat="1" ht="13.5">
      <c r="A133" s="32" t="s">
        <v>151</v>
      </c>
      <c r="B133" s="32" t="s">
        <v>152</v>
      </c>
      <c r="C133" s="32" t="s">
        <v>153</v>
      </c>
      <c r="D133" s="32">
        <v>514202</v>
      </c>
      <c r="E133" s="32" t="s">
        <v>154</v>
      </c>
      <c r="F133" s="32">
        <v>6405</v>
      </c>
      <c r="G133" s="32" t="s">
        <v>155</v>
      </c>
      <c r="H133" s="32">
        <v>1018</v>
      </c>
      <c r="I133" s="32">
        <v>287</v>
      </c>
      <c r="J133" s="32">
        <v>33</v>
      </c>
      <c r="K133" s="32">
        <v>0</v>
      </c>
      <c r="L133" s="32">
        <v>0</v>
      </c>
      <c r="M133" s="32">
        <v>0</v>
      </c>
      <c r="O133" s="22" t="s">
        <v>156</v>
      </c>
    </row>
    <row r="134" spans="8:15" ht="12.75">
      <c r="H134" s="33">
        <v>983</v>
      </c>
      <c r="I134" s="33">
        <v>277</v>
      </c>
      <c r="J134" s="33">
        <v>756</v>
      </c>
      <c r="K134" s="33">
        <v>0</v>
      </c>
      <c r="L134" s="33">
        <v>0</v>
      </c>
      <c r="M134" s="33">
        <v>0</v>
      </c>
      <c r="N134" s="33"/>
      <c r="O134" s="33" t="s">
        <v>157</v>
      </c>
    </row>
    <row r="135" spans="8:13" ht="12.75">
      <c r="H135" s="16">
        <f aca="true" t="shared" si="24" ref="H135:M135">H133-H134</f>
        <v>35</v>
      </c>
      <c r="I135" s="16">
        <f t="shared" si="24"/>
        <v>10</v>
      </c>
      <c r="J135" s="16">
        <f t="shared" si="24"/>
        <v>-723</v>
      </c>
      <c r="K135" s="16">
        <f t="shared" si="24"/>
        <v>0</v>
      </c>
      <c r="L135" s="16">
        <f t="shared" si="24"/>
        <v>0</v>
      </c>
      <c r="M135" s="16">
        <f t="shared" si="24"/>
        <v>0</v>
      </c>
    </row>
    <row r="138" ht="14.25">
      <c r="A138" s="26" t="s">
        <v>199</v>
      </c>
    </row>
    <row r="139" spans="1:17" ht="27">
      <c r="A139" s="30" t="s">
        <v>127</v>
      </c>
      <c r="B139" s="30" t="s">
        <v>140</v>
      </c>
      <c r="C139" s="30" t="s">
        <v>128</v>
      </c>
      <c r="D139" s="30" t="s">
        <v>129</v>
      </c>
      <c r="E139" s="30" t="s">
        <v>130</v>
      </c>
      <c r="F139" s="30" t="s">
        <v>131</v>
      </c>
      <c r="G139" s="30" t="s">
        <v>132</v>
      </c>
      <c r="H139" s="30" t="s">
        <v>133</v>
      </c>
      <c r="I139" s="30" t="s">
        <v>134</v>
      </c>
      <c r="J139" s="30" t="s">
        <v>135</v>
      </c>
      <c r="K139" s="30" t="s">
        <v>136</v>
      </c>
      <c r="L139" s="30" t="s">
        <v>137</v>
      </c>
      <c r="M139" s="30" t="s">
        <v>138</v>
      </c>
      <c r="N139" s="25"/>
      <c r="O139" s="30" t="s">
        <v>139</v>
      </c>
      <c r="P139" s="29" t="s">
        <v>168</v>
      </c>
      <c r="Q139" s="29" t="s">
        <v>164</v>
      </c>
    </row>
    <row r="140" spans="1:17" ht="14.25">
      <c r="A140" s="22" t="s">
        <v>231</v>
      </c>
      <c r="B140" s="22" t="s">
        <v>166</v>
      </c>
      <c r="C140" s="22" t="s">
        <v>200</v>
      </c>
      <c r="D140" s="22"/>
      <c r="E140" s="22"/>
      <c r="F140" s="22">
        <v>52033</v>
      </c>
      <c r="G140" s="22"/>
      <c r="H140" s="22">
        <v>1033</v>
      </c>
      <c r="I140" s="22">
        <v>290</v>
      </c>
      <c r="J140" s="22">
        <v>759</v>
      </c>
      <c r="K140" s="23">
        <v>0</v>
      </c>
      <c r="L140" s="23">
        <v>0</v>
      </c>
      <c r="M140" s="23">
        <v>0</v>
      </c>
      <c r="N140" s="22"/>
      <c r="O140" s="22" t="s">
        <v>167</v>
      </c>
      <c r="P140" s="22">
        <v>22120</v>
      </c>
      <c r="Q140" s="16">
        <v>30</v>
      </c>
    </row>
    <row r="141" spans="1:17" ht="14.25">
      <c r="A141" s="22" t="s">
        <v>231</v>
      </c>
      <c r="B141" s="22" t="s">
        <v>166</v>
      </c>
      <c r="C141" s="22" t="s">
        <v>200</v>
      </c>
      <c r="D141" s="22"/>
      <c r="E141" s="22"/>
      <c r="F141" s="22">
        <v>5202</v>
      </c>
      <c r="G141" s="22"/>
      <c r="H141" s="22">
        <v>394</v>
      </c>
      <c r="I141" s="22">
        <v>113</v>
      </c>
      <c r="J141" s="22">
        <v>292</v>
      </c>
      <c r="K141" s="23">
        <v>0</v>
      </c>
      <c r="L141" s="23">
        <v>0</v>
      </c>
      <c r="M141" s="23">
        <v>0</v>
      </c>
      <c r="N141" s="22"/>
      <c r="O141" s="22" t="s">
        <v>169</v>
      </c>
      <c r="P141" s="22">
        <v>22120</v>
      </c>
      <c r="Q141" s="16">
        <v>15</v>
      </c>
    </row>
    <row r="142" spans="1:17" ht="14.25">
      <c r="A142" s="22" t="s">
        <v>231</v>
      </c>
      <c r="B142" s="22" t="s">
        <v>166</v>
      </c>
      <c r="C142" s="22" t="s">
        <v>200</v>
      </c>
      <c r="D142" s="22"/>
      <c r="E142" s="22"/>
      <c r="F142" s="22">
        <v>5202</v>
      </c>
      <c r="G142" s="22"/>
      <c r="H142" s="22">
        <v>456</v>
      </c>
      <c r="I142" s="22">
        <v>128</v>
      </c>
      <c r="J142" s="22">
        <v>335</v>
      </c>
      <c r="K142" s="23">
        <v>0</v>
      </c>
      <c r="L142" s="23">
        <v>0</v>
      </c>
      <c r="M142" s="23">
        <v>0</v>
      </c>
      <c r="N142" s="22"/>
      <c r="O142" s="22" t="s">
        <v>170</v>
      </c>
      <c r="P142" s="22">
        <v>22120</v>
      </c>
      <c r="Q142" s="16">
        <v>13</v>
      </c>
    </row>
    <row r="143" spans="8:13" ht="14.25">
      <c r="H143" s="16" t="s">
        <v>238</v>
      </c>
      <c r="I143" s="16" t="s">
        <v>239</v>
      </c>
      <c r="J143" s="16" t="s">
        <v>240</v>
      </c>
      <c r="K143" s="17"/>
      <c r="L143" s="17"/>
      <c r="M143" s="17"/>
    </row>
    <row r="144" spans="8:13" ht="12.75">
      <c r="H144" s="16">
        <f>1883/30</f>
        <v>62.766666666666666</v>
      </c>
      <c r="I144" s="16">
        <f>531/30</f>
        <v>17.7</v>
      </c>
      <c r="J144" s="16">
        <f>1386/30</f>
        <v>46.2</v>
      </c>
      <c r="K144" s="17"/>
      <c r="L144" s="17"/>
      <c r="M144" s="17"/>
    </row>
    <row r="145" spans="11:13" ht="12.75">
      <c r="K145" s="17"/>
      <c r="L145" s="17"/>
      <c r="M145" s="17"/>
    </row>
    <row r="146" spans="11:13" ht="12.75">
      <c r="K146" s="17"/>
      <c r="L146" s="17"/>
      <c r="M146" s="17"/>
    </row>
    <row r="147" spans="11:13" ht="12.75">
      <c r="K147" s="17"/>
      <c r="L147" s="17"/>
      <c r="M147" s="17"/>
    </row>
    <row r="148" spans="7:14" ht="15" thickBot="1">
      <c r="G148" s="6" t="s">
        <v>18</v>
      </c>
      <c r="H148" s="24">
        <f aca="true" t="shared" si="25" ref="H148:M148">SUM(H140+H141+H142)</f>
        <v>1883</v>
      </c>
      <c r="I148" s="24">
        <f t="shared" si="25"/>
        <v>531</v>
      </c>
      <c r="J148" s="24">
        <f t="shared" si="25"/>
        <v>1386</v>
      </c>
      <c r="K148" s="24">
        <f t="shared" si="25"/>
        <v>0</v>
      </c>
      <c r="L148" s="24">
        <f t="shared" si="25"/>
        <v>0</v>
      </c>
      <c r="M148" s="24">
        <f t="shared" si="25"/>
        <v>0</v>
      </c>
      <c r="N148" s="24"/>
    </row>
    <row r="149" ht="13.5" thickTop="1"/>
    <row r="152" spans="1:17" ht="27">
      <c r="A152" s="30" t="s">
        <v>127</v>
      </c>
      <c r="B152" s="30" t="s">
        <v>140</v>
      </c>
      <c r="C152" s="30" t="s">
        <v>128</v>
      </c>
      <c r="D152" s="30" t="s">
        <v>129</v>
      </c>
      <c r="E152" s="30" t="s">
        <v>130</v>
      </c>
      <c r="F152" s="30" t="s">
        <v>131</v>
      </c>
      <c r="G152" s="30" t="s">
        <v>132</v>
      </c>
      <c r="H152" s="30" t="s">
        <v>133</v>
      </c>
      <c r="I152" s="30" t="s">
        <v>134</v>
      </c>
      <c r="J152" s="30" t="s">
        <v>135</v>
      </c>
      <c r="K152" s="30" t="s">
        <v>136</v>
      </c>
      <c r="L152" s="30" t="s">
        <v>137</v>
      </c>
      <c r="M152" s="30" t="s">
        <v>138</v>
      </c>
      <c r="N152" s="25"/>
      <c r="O152" s="30" t="s">
        <v>139</v>
      </c>
      <c r="P152" s="29" t="s">
        <v>168</v>
      </c>
      <c r="Q152" s="29" t="s">
        <v>164</v>
      </c>
    </row>
    <row r="153" spans="1:30" s="34" customFormat="1" ht="12.75">
      <c r="A153" s="34" t="s">
        <v>171</v>
      </c>
      <c r="B153" s="34" t="s">
        <v>172</v>
      </c>
      <c r="C153" s="34" t="s">
        <v>173</v>
      </c>
      <c r="D153" s="34">
        <v>514201</v>
      </c>
      <c r="E153" s="34">
        <v>1200002</v>
      </c>
      <c r="F153" s="34" t="s">
        <v>174</v>
      </c>
      <c r="G153" s="34" t="s">
        <v>175</v>
      </c>
      <c r="H153" s="34">
        <v>611</v>
      </c>
      <c r="I153" s="34">
        <v>172</v>
      </c>
      <c r="J153" s="35">
        <v>450</v>
      </c>
      <c r="L153" s="36"/>
      <c r="M153" s="35"/>
      <c r="O153" s="36"/>
      <c r="P153" s="35"/>
      <c r="R153" s="36"/>
      <c r="S153" s="35"/>
      <c r="U153" s="37"/>
      <c r="V153" s="37"/>
      <c r="W153" s="37"/>
      <c r="X153" s="36"/>
      <c r="Y153" s="36"/>
      <c r="Z153" s="36"/>
      <c r="AA153" s="36"/>
      <c r="AB153" s="36"/>
      <c r="AC153" s="36"/>
      <c r="AD153" s="38"/>
    </row>
    <row r="154" spans="1:32" s="22" customFormat="1" ht="12.75">
      <c r="A154" s="22" t="s">
        <v>67</v>
      </c>
      <c r="B154" s="22" t="s">
        <v>172</v>
      </c>
      <c r="C154" s="22" t="s">
        <v>173</v>
      </c>
      <c r="D154" s="22">
        <v>512218</v>
      </c>
      <c r="E154" s="22" t="s">
        <v>176</v>
      </c>
      <c r="F154" s="22">
        <v>20010101</v>
      </c>
      <c r="G154" s="22" t="s">
        <v>177</v>
      </c>
      <c r="H154" s="22">
        <v>1272</v>
      </c>
      <c r="I154" s="22">
        <v>359</v>
      </c>
      <c r="J154" s="22">
        <v>936</v>
      </c>
      <c r="AC154" s="22" t="s">
        <v>178</v>
      </c>
      <c r="AD154" s="22" t="s">
        <v>178</v>
      </c>
      <c r="AE154" s="22" t="s">
        <v>178</v>
      </c>
      <c r="AF154" s="22" t="s">
        <v>178</v>
      </c>
    </row>
    <row r="156" spans="7:14" ht="15" thickBot="1">
      <c r="G156" s="6" t="s">
        <v>18</v>
      </c>
      <c r="H156" s="24">
        <f aca="true" t="shared" si="26" ref="H156:M156">SUM(H153:H154)</f>
        <v>1883</v>
      </c>
      <c r="I156" s="24">
        <f t="shared" si="26"/>
        <v>531</v>
      </c>
      <c r="J156" s="24">
        <f t="shared" si="26"/>
        <v>1386</v>
      </c>
      <c r="K156" s="24">
        <f t="shared" si="26"/>
        <v>0</v>
      </c>
      <c r="L156" s="24">
        <f t="shared" si="26"/>
        <v>0</v>
      </c>
      <c r="M156" s="24">
        <f t="shared" si="26"/>
        <v>0</v>
      </c>
      <c r="N156" s="24"/>
    </row>
    <row r="157" ht="13.5" thickTop="1"/>
    <row r="161" spans="1:17" ht="27">
      <c r="A161" s="30" t="s">
        <v>127</v>
      </c>
      <c r="B161" s="30" t="s">
        <v>140</v>
      </c>
      <c r="C161" s="30" t="s">
        <v>128</v>
      </c>
      <c r="D161" s="30" t="s">
        <v>129</v>
      </c>
      <c r="E161" s="30" t="s">
        <v>130</v>
      </c>
      <c r="F161" s="30" t="s">
        <v>131</v>
      </c>
      <c r="G161" s="30" t="s">
        <v>132</v>
      </c>
      <c r="H161" s="30" t="s">
        <v>133</v>
      </c>
      <c r="I161" s="30" t="s">
        <v>134</v>
      </c>
      <c r="J161" s="30" t="s">
        <v>135</v>
      </c>
      <c r="K161" s="30" t="s">
        <v>136</v>
      </c>
      <c r="L161" s="30" t="s">
        <v>137</v>
      </c>
      <c r="M161" s="30" t="s">
        <v>138</v>
      </c>
      <c r="N161" s="25"/>
      <c r="O161" s="30" t="s">
        <v>139</v>
      </c>
      <c r="P161" s="29" t="s">
        <v>168</v>
      </c>
      <c r="Q161" s="29" t="s">
        <v>164</v>
      </c>
    </row>
    <row r="162" spans="1:10" ht="12.75">
      <c r="A162" s="16" t="s">
        <v>19</v>
      </c>
      <c r="B162" s="16" t="s">
        <v>179</v>
      </c>
      <c r="C162" s="16" t="s">
        <v>180</v>
      </c>
      <c r="D162" s="16">
        <v>1100253</v>
      </c>
      <c r="E162" s="16" t="s">
        <v>181</v>
      </c>
      <c r="F162" s="16" t="s">
        <v>95</v>
      </c>
      <c r="G162" s="16" t="s">
        <v>182</v>
      </c>
      <c r="H162" s="16">
        <v>292</v>
      </c>
      <c r="I162" s="16">
        <v>82</v>
      </c>
      <c r="J162" s="16">
        <v>192</v>
      </c>
    </row>
    <row r="163" spans="1:10" ht="12.75">
      <c r="A163" s="16" t="s">
        <v>19</v>
      </c>
      <c r="B163" s="16" t="s">
        <v>179</v>
      </c>
      <c r="C163" s="16" t="s">
        <v>180</v>
      </c>
      <c r="D163" s="16">
        <v>5186705</v>
      </c>
      <c r="E163" s="16" t="s">
        <v>183</v>
      </c>
      <c r="F163" s="16" t="s">
        <v>184</v>
      </c>
      <c r="G163" s="16" t="s">
        <v>185</v>
      </c>
      <c r="H163" s="16">
        <v>613</v>
      </c>
      <c r="I163" s="16">
        <v>173</v>
      </c>
      <c r="J163" s="16">
        <v>402</v>
      </c>
    </row>
    <row r="166" spans="7:14" ht="15" thickBot="1">
      <c r="G166" s="6" t="s">
        <v>18</v>
      </c>
      <c r="H166" s="24">
        <f aca="true" t="shared" si="27" ref="H166:M166">SUM(H162:H163)</f>
        <v>905</v>
      </c>
      <c r="I166" s="24">
        <f t="shared" si="27"/>
        <v>255</v>
      </c>
      <c r="J166" s="24">
        <f t="shared" si="27"/>
        <v>594</v>
      </c>
      <c r="K166" s="24">
        <f t="shared" si="27"/>
        <v>0</v>
      </c>
      <c r="L166" s="24">
        <f t="shared" si="27"/>
        <v>0</v>
      </c>
      <c r="M166" s="24">
        <f t="shared" si="27"/>
        <v>0</v>
      </c>
      <c r="N166" s="24"/>
    </row>
    <row r="167" ht="13.5" thickTop="1"/>
    <row r="170" spans="1:16" ht="27">
      <c r="A170" s="30" t="s">
        <v>127</v>
      </c>
      <c r="B170" s="30" t="s">
        <v>128</v>
      </c>
      <c r="C170" s="30" t="s">
        <v>140</v>
      </c>
      <c r="D170" s="30" t="s">
        <v>129</v>
      </c>
      <c r="E170" s="30" t="s">
        <v>131</v>
      </c>
      <c r="F170" s="30" t="s">
        <v>201</v>
      </c>
      <c r="G170" s="30"/>
      <c r="H170" s="30" t="s">
        <v>133</v>
      </c>
      <c r="I170" s="30" t="s">
        <v>134</v>
      </c>
      <c r="J170" s="30" t="s">
        <v>135</v>
      </c>
      <c r="K170" s="30" t="s">
        <v>136</v>
      </c>
      <c r="L170" s="30" t="s">
        <v>137</v>
      </c>
      <c r="M170" s="30" t="s">
        <v>138</v>
      </c>
      <c r="N170" s="25"/>
      <c r="O170" s="16" t="s">
        <v>202</v>
      </c>
      <c r="P170" s="16" t="s">
        <v>203</v>
      </c>
    </row>
    <row r="171" spans="1:16" s="41" customFormat="1" ht="14.25">
      <c r="A171" s="41" t="s">
        <v>171</v>
      </c>
      <c r="B171" s="41" t="s">
        <v>204</v>
      </c>
      <c r="C171" s="41" t="s">
        <v>186</v>
      </c>
      <c r="D171" s="41">
        <v>514202</v>
      </c>
      <c r="E171" s="41" t="s">
        <v>205</v>
      </c>
      <c r="F171" s="41">
        <v>2960</v>
      </c>
      <c r="H171" s="41">
        <f>H172+H174</f>
        <v>444.0090702947846</v>
      </c>
      <c r="I171" s="41">
        <f>I172+I174</f>
        <v>125.73242630385488</v>
      </c>
      <c r="J171" s="41">
        <f>J172+J174</f>
        <v>88.38095238095238</v>
      </c>
      <c r="O171" s="41" t="s">
        <v>189</v>
      </c>
      <c r="P171" s="41">
        <v>2960</v>
      </c>
    </row>
    <row r="172" spans="8:14" ht="12.75">
      <c r="H172" s="39">
        <f>H179*11</f>
        <v>309.46666666666664</v>
      </c>
      <c r="I172" s="39">
        <f>I179*11</f>
        <v>87.63333333333334</v>
      </c>
      <c r="J172" s="39">
        <f>J179*11</f>
        <v>61.599999999999994</v>
      </c>
      <c r="K172" s="39"/>
      <c r="L172" s="39"/>
      <c r="M172" s="39"/>
      <c r="N172" s="39"/>
    </row>
    <row r="173" spans="8:14" ht="12.75">
      <c r="H173" s="39">
        <f>H178-H172</f>
        <v>534.5333333333333</v>
      </c>
      <c r="I173" s="39">
        <f>I178-I172</f>
        <v>151.36666666666667</v>
      </c>
      <c r="J173" s="39">
        <f>J178-J172</f>
        <v>106.4</v>
      </c>
      <c r="K173" s="39"/>
      <c r="L173" s="39"/>
      <c r="M173" s="39"/>
      <c r="N173" s="39"/>
    </row>
    <row r="174" spans="8:14" ht="12.75">
      <c r="H174" s="39">
        <f>H173*2960/11760</f>
        <v>134.5424036281179</v>
      </c>
      <c r="I174" s="39">
        <f>I173*2960/11760</f>
        <v>38.099092970521546</v>
      </c>
      <c r="J174" s="39">
        <f>J173*2960/11760</f>
        <v>26.78095238095238</v>
      </c>
      <c r="K174" s="39"/>
      <c r="L174" s="39"/>
      <c r="M174" s="39"/>
      <c r="N174" s="39"/>
    </row>
    <row r="175" spans="1:15" s="41" customFormat="1" ht="14.25">
      <c r="A175" s="41" t="s">
        <v>206</v>
      </c>
      <c r="B175" s="41" t="s">
        <v>204</v>
      </c>
      <c r="C175" s="41" t="s">
        <v>242</v>
      </c>
      <c r="D175" s="41" t="s">
        <v>187</v>
      </c>
      <c r="E175" s="41" t="s">
        <v>188</v>
      </c>
      <c r="F175" s="41">
        <v>8800</v>
      </c>
      <c r="H175" s="41">
        <f>H176</f>
        <v>399.99092970521536</v>
      </c>
      <c r="I175" s="41">
        <f>I176</f>
        <v>113.26757369614513</v>
      </c>
      <c r="J175" s="41">
        <f>J176</f>
        <v>79.61904761904762</v>
      </c>
      <c r="O175" s="41" t="s">
        <v>243</v>
      </c>
    </row>
    <row r="176" spans="8:14" ht="12.75">
      <c r="H176" s="39">
        <f>H173*8800/11760</f>
        <v>399.99092970521536</v>
      </c>
      <c r="I176" s="39">
        <f>I173*8800/11760</f>
        <v>113.26757369614513</v>
      </c>
      <c r="J176" s="39">
        <f>J173*8800/11760</f>
        <v>79.61904761904762</v>
      </c>
      <c r="K176" s="39"/>
      <c r="L176" s="39"/>
      <c r="M176" s="39"/>
      <c r="N176" s="39"/>
    </row>
    <row r="177" spans="7:14" ht="15" thickBot="1">
      <c r="G177" s="6" t="s">
        <v>18</v>
      </c>
      <c r="H177" s="40">
        <f aca="true" t="shared" si="28" ref="H177:M177">H171+H175</f>
        <v>844</v>
      </c>
      <c r="I177" s="40">
        <f t="shared" si="28"/>
        <v>239</v>
      </c>
      <c r="J177" s="40">
        <f t="shared" si="28"/>
        <v>168</v>
      </c>
      <c r="K177" s="40">
        <f t="shared" si="28"/>
        <v>0</v>
      </c>
      <c r="L177" s="40">
        <f t="shared" si="28"/>
        <v>0</v>
      </c>
      <c r="M177" s="40">
        <f t="shared" si="28"/>
        <v>0</v>
      </c>
      <c r="N177" s="40"/>
    </row>
    <row r="178" spans="8:10" ht="13.5" thickTop="1">
      <c r="H178" s="16">
        <v>844</v>
      </c>
      <c r="I178" s="16">
        <v>239</v>
      </c>
      <c r="J178" s="16">
        <v>168</v>
      </c>
    </row>
    <row r="179" spans="8:14" ht="12.75">
      <c r="H179" s="39">
        <f>H178/30</f>
        <v>28.133333333333333</v>
      </c>
      <c r="I179" s="39">
        <f>I178/30</f>
        <v>7.966666666666667</v>
      </c>
      <c r="J179" s="39">
        <f>J178/30</f>
        <v>5.6</v>
      </c>
      <c r="K179" s="39"/>
      <c r="L179" s="39"/>
      <c r="M179" s="39"/>
      <c r="N179" s="39"/>
    </row>
    <row r="181" spans="1:16" ht="27">
      <c r="A181" s="30" t="s">
        <v>127</v>
      </c>
      <c r="B181" s="30" t="s">
        <v>128</v>
      </c>
      <c r="C181" s="30" t="s">
        <v>140</v>
      </c>
      <c r="D181" s="30" t="s">
        <v>129</v>
      </c>
      <c r="E181" s="30" t="s">
        <v>131</v>
      </c>
      <c r="F181" s="30" t="s">
        <v>201</v>
      </c>
      <c r="H181" s="30" t="s">
        <v>133</v>
      </c>
      <c r="I181" s="30" t="s">
        <v>134</v>
      </c>
      <c r="J181" s="30" t="s">
        <v>135</v>
      </c>
      <c r="K181" s="30" t="s">
        <v>136</v>
      </c>
      <c r="L181" s="30" t="s">
        <v>137</v>
      </c>
      <c r="M181" s="30" t="s">
        <v>138</v>
      </c>
      <c r="N181" s="25"/>
      <c r="O181" s="16" t="s">
        <v>202</v>
      </c>
      <c r="P181" s="16" t="s">
        <v>203</v>
      </c>
    </row>
    <row r="182" spans="1:16" s="41" customFormat="1" ht="14.25">
      <c r="A182" s="41" t="s">
        <v>171</v>
      </c>
      <c r="B182" s="41" t="s">
        <v>241</v>
      </c>
      <c r="C182" s="41" t="s">
        <v>207</v>
      </c>
      <c r="D182" s="41">
        <v>514202</v>
      </c>
      <c r="E182" s="41" t="s">
        <v>205</v>
      </c>
      <c r="F182" s="41">
        <v>2550</v>
      </c>
      <c r="H182" s="41">
        <f>H183</f>
        <v>167.3360824742268</v>
      </c>
      <c r="I182" s="41">
        <f>I183</f>
        <v>47.10927835051547</v>
      </c>
      <c r="J182" s="41">
        <f>J183</f>
        <v>123.00756013745705</v>
      </c>
      <c r="O182" s="41" t="s">
        <v>189</v>
      </c>
      <c r="P182" s="41">
        <v>12000</v>
      </c>
    </row>
    <row r="183" spans="8:10" ht="12.75">
      <c r="H183" s="39">
        <f>H186*2550/14550</f>
        <v>167.3360824742268</v>
      </c>
      <c r="I183" s="39">
        <f>I186*2550/14550</f>
        <v>47.10927835051547</v>
      </c>
      <c r="J183" s="39">
        <f>J186*2550/14550</f>
        <v>123.00756013745705</v>
      </c>
    </row>
    <row r="184" spans="1:15" s="41" customFormat="1" ht="14.25">
      <c r="A184" s="41" t="s">
        <v>206</v>
      </c>
      <c r="B184" s="41" t="s">
        <v>241</v>
      </c>
      <c r="C184" s="41" t="s">
        <v>207</v>
      </c>
      <c r="D184" s="41">
        <v>5206713</v>
      </c>
      <c r="E184" s="41" t="s">
        <v>208</v>
      </c>
      <c r="F184" s="41">
        <v>12000</v>
      </c>
      <c r="H184" s="41">
        <f>H185+H187</f>
        <v>855.6639175257733</v>
      </c>
      <c r="I184" s="41">
        <f>I185+I187</f>
        <v>240.89072164948453</v>
      </c>
      <c r="J184" s="41">
        <f>J185+J187</f>
        <v>628.9924398625429</v>
      </c>
      <c r="O184" s="41" t="s">
        <v>209</v>
      </c>
    </row>
    <row r="185" spans="8:10" s="42" customFormat="1" ht="12.75">
      <c r="H185" s="42">
        <f>H190*2</f>
        <v>68.2</v>
      </c>
      <c r="I185" s="42">
        <f>I190*2</f>
        <v>19.2</v>
      </c>
      <c r="J185" s="42">
        <f>J190*2</f>
        <v>50.13333333333333</v>
      </c>
    </row>
    <row r="186" spans="8:10" s="42" customFormat="1" ht="12.75">
      <c r="H186" s="42">
        <f>H189-H185</f>
        <v>954.8</v>
      </c>
      <c r="I186" s="42">
        <f>I189-I185</f>
        <v>268.8</v>
      </c>
      <c r="J186" s="42">
        <f>J189-J185</f>
        <v>701.8666666666667</v>
      </c>
    </row>
    <row r="187" spans="8:10" s="42" customFormat="1" ht="12.75">
      <c r="H187" s="39">
        <f>H186*12000/14550</f>
        <v>787.4639175257732</v>
      </c>
      <c r="I187" s="39">
        <f>I186*12000/14550</f>
        <v>221.69072164948454</v>
      </c>
      <c r="J187" s="39">
        <f>J186*12000/14550</f>
        <v>578.8591065292096</v>
      </c>
    </row>
    <row r="188" spans="6:14" ht="15" thickBot="1">
      <c r="F188" s="33" t="s">
        <v>251</v>
      </c>
      <c r="G188" s="6" t="s">
        <v>18</v>
      </c>
      <c r="H188" s="40">
        <f aca="true" t="shared" si="29" ref="H188:M188">H182+H184</f>
        <v>1023.0000000000001</v>
      </c>
      <c r="I188" s="40">
        <f t="shared" si="29"/>
        <v>288</v>
      </c>
      <c r="J188" s="40">
        <f t="shared" si="29"/>
        <v>752</v>
      </c>
      <c r="K188" s="40">
        <f t="shared" si="29"/>
        <v>0</v>
      </c>
      <c r="L188" s="40">
        <f t="shared" si="29"/>
        <v>0</v>
      </c>
      <c r="M188" s="40">
        <f t="shared" si="29"/>
        <v>0</v>
      </c>
      <c r="N188" s="40"/>
    </row>
    <row r="189" spans="8:10" ht="13.5" thickTop="1">
      <c r="H189" s="16">
        <v>1023</v>
      </c>
      <c r="I189" s="16">
        <v>288</v>
      </c>
      <c r="J189" s="16">
        <v>752</v>
      </c>
    </row>
    <row r="190" spans="8:10" s="39" customFormat="1" ht="12.75">
      <c r="H190" s="39">
        <f>H189/30</f>
        <v>34.1</v>
      </c>
      <c r="I190" s="39">
        <f>I189/30</f>
        <v>9.6</v>
      </c>
      <c r="J190" s="39">
        <f>J189/30</f>
        <v>25.066666666666666</v>
      </c>
    </row>
    <row r="193" spans="1:16" ht="27">
      <c r="A193" s="30" t="s">
        <v>127</v>
      </c>
      <c r="B193" s="30" t="s">
        <v>128</v>
      </c>
      <c r="C193" s="30" t="s">
        <v>140</v>
      </c>
      <c r="D193" s="30" t="s">
        <v>129</v>
      </c>
      <c r="E193" s="30" t="s">
        <v>131</v>
      </c>
      <c r="F193" s="30" t="s">
        <v>201</v>
      </c>
      <c r="H193" s="30" t="s">
        <v>133</v>
      </c>
      <c r="I193" s="30" t="s">
        <v>134</v>
      </c>
      <c r="J193" s="30" t="s">
        <v>135</v>
      </c>
      <c r="K193" s="30" t="s">
        <v>136</v>
      </c>
      <c r="L193" s="30" t="s">
        <v>137</v>
      </c>
      <c r="M193" s="30" t="s">
        <v>138</v>
      </c>
      <c r="N193" s="25"/>
      <c r="O193" s="16" t="s">
        <v>202</v>
      </c>
      <c r="P193" s="16" t="s">
        <v>203</v>
      </c>
    </row>
    <row r="194" spans="1:15" s="41" customFormat="1" ht="14.25">
      <c r="A194" s="43" t="s">
        <v>247</v>
      </c>
      <c r="B194" s="43" t="s">
        <v>246</v>
      </c>
      <c r="C194" s="41" t="s">
        <v>244</v>
      </c>
      <c r="D194" s="41">
        <v>515108</v>
      </c>
      <c r="E194" s="41">
        <v>8901201</v>
      </c>
      <c r="F194" s="41">
        <v>16170</v>
      </c>
      <c r="H194" s="41">
        <f>H195</f>
        <v>882.4904875621891</v>
      </c>
      <c r="I194" s="41">
        <f>I195</f>
        <v>249.16280597014926</v>
      </c>
      <c r="J194" s="41">
        <f>J195</f>
        <v>649.5030447761194</v>
      </c>
      <c r="O194" s="41" t="s">
        <v>248</v>
      </c>
    </row>
    <row r="195" spans="2:10" ht="14.25">
      <c r="B195" s="43"/>
      <c r="H195" s="39">
        <f>H198*16170/50250</f>
        <v>882.4904875621891</v>
      </c>
      <c r="I195" s="39">
        <f>I198*16170/50250</f>
        <v>249.16280597014926</v>
      </c>
      <c r="J195" s="39">
        <f>J198*16170/50250</f>
        <v>649.5030447761194</v>
      </c>
    </row>
    <row r="196" spans="1:16" s="41" customFormat="1" ht="14.25">
      <c r="A196" s="43" t="s">
        <v>245</v>
      </c>
      <c r="B196" s="43" t="s">
        <v>246</v>
      </c>
      <c r="C196" s="41" t="s">
        <v>244</v>
      </c>
      <c r="D196" s="41">
        <v>4101</v>
      </c>
      <c r="F196" s="41">
        <v>34080</v>
      </c>
      <c r="H196" s="41">
        <f>H197+H199</f>
        <v>1954.5095124378108</v>
      </c>
      <c r="I196" s="41">
        <f>I197+I199</f>
        <v>551.8371940298508</v>
      </c>
      <c r="J196" s="41">
        <f>J197+J199</f>
        <v>1438.4969552238806</v>
      </c>
      <c r="O196" s="41" t="s">
        <v>252</v>
      </c>
      <c r="P196" s="41">
        <v>34080</v>
      </c>
    </row>
    <row r="197" spans="1:10" s="42" customFormat="1" ht="14.25">
      <c r="A197" s="43"/>
      <c r="B197" s="43"/>
      <c r="C197" s="41"/>
      <c r="D197" s="41"/>
      <c r="E197" s="41"/>
      <c r="F197" s="41"/>
      <c r="H197" s="42">
        <f>H202*1</f>
        <v>94.56666666666666</v>
      </c>
      <c r="I197" s="42">
        <f>I202*1</f>
        <v>26.7</v>
      </c>
      <c r="J197" s="42">
        <f>J202*1</f>
        <v>69.6</v>
      </c>
    </row>
    <row r="198" spans="8:10" s="42" customFormat="1" ht="12.75">
      <c r="H198" s="42">
        <f>H201-H197</f>
        <v>2742.4333333333334</v>
      </c>
      <c r="I198" s="42">
        <f>I201-I197</f>
        <v>774.3</v>
      </c>
      <c r="J198" s="42">
        <f>J201-J197</f>
        <v>2018.4</v>
      </c>
    </row>
    <row r="199" spans="8:10" s="42" customFormat="1" ht="12.75">
      <c r="H199" s="39">
        <f>H198*34080/50250</f>
        <v>1859.9428457711442</v>
      </c>
      <c r="I199" s="39">
        <f>I198*34080/50250</f>
        <v>525.1371940298508</v>
      </c>
      <c r="J199" s="39">
        <f>J198*34080/50250</f>
        <v>1368.8969552238807</v>
      </c>
    </row>
    <row r="200" spans="6:14" ht="15" thickBot="1">
      <c r="F200" s="33" t="s">
        <v>251</v>
      </c>
      <c r="G200" s="6" t="s">
        <v>18</v>
      </c>
      <c r="H200" s="40">
        <f aca="true" t="shared" si="30" ref="H200:M200">H194+H196</f>
        <v>2837</v>
      </c>
      <c r="I200" s="40">
        <f t="shared" si="30"/>
        <v>801.0000000000001</v>
      </c>
      <c r="J200" s="40">
        <f t="shared" si="30"/>
        <v>2088</v>
      </c>
      <c r="K200" s="40">
        <f t="shared" si="30"/>
        <v>0</v>
      </c>
      <c r="L200" s="40">
        <f t="shared" si="30"/>
        <v>0</v>
      </c>
      <c r="M200" s="40">
        <f t="shared" si="30"/>
        <v>0</v>
      </c>
      <c r="N200" s="40"/>
    </row>
    <row r="201" spans="8:10" ht="13.5" thickTop="1">
      <c r="H201" s="16">
        <v>2837</v>
      </c>
      <c r="I201" s="16">
        <v>801</v>
      </c>
      <c r="J201" s="16">
        <v>2088</v>
      </c>
    </row>
    <row r="202" spans="8:10" s="39" customFormat="1" ht="12.75">
      <c r="H202" s="39">
        <f>H201/30</f>
        <v>94.56666666666666</v>
      </c>
      <c r="I202" s="39">
        <f>I201/30</f>
        <v>26.7</v>
      </c>
      <c r="J202" s="39">
        <f>J201/30</f>
        <v>69.6</v>
      </c>
    </row>
    <row r="206" spans="1:16" ht="27">
      <c r="A206" s="30" t="s">
        <v>127</v>
      </c>
      <c r="B206" s="30" t="s">
        <v>128</v>
      </c>
      <c r="C206" s="30" t="s">
        <v>140</v>
      </c>
      <c r="D206" s="30" t="s">
        <v>129</v>
      </c>
      <c r="E206" s="30" t="s">
        <v>131</v>
      </c>
      <c r="F206" s="30" t="s">
        <v>201</v>
      </c>
      <c r="H206" s="30" t="s">
        <v>133</v>
      </c>
      <c r="I206" s="30" t="s">
        <v>134</v>
      </c>
      <c r="J206" s="30" t="s">
        <v>135</v>
      </c>
      <c r="K206" s="30" t="s">
        <v>136</v>
      </c>
      <c r="L206" s="30" t="s">
        <v>137</v>
      </c>
      <c r="M206" s="30" t="s">
        <v>138</v>
      </c>
      <c r="N206" s="25"/>
      <c r="O206" s="16" t="s">
        <v>202</v>
      </c>
      <c r="P206" s="16" t="s">
        <v>203</v>
      </c>
    </row>
    <row r="207" spans="1:15" s="41" customFormat="1" ht="14.25">
      <c r="A207" s="43" t="s">
        <v>247</v>
      </c>
      <c r="B207" s="43" t="s">
        <v>250</v>
      </c>
      <c r="C207" s="41" t="s">
        <v>249</v>
      </c>
      <c r="D207" s="41">
        <v>515108</v>
      </c>
      <c r="E207" s="41">
        <v>8901201</v>
      </c>
      <c r="F207" s="41">
        <v>54180</v>
      </c>
      <c r="H207" s="41">
        <f>H208</f>
        <v>1538.7781634128703</v>
      </c>
      <c r="I207" s="41">
        <f>I208</f>
        <v>418.46182212581346</v>
      </c>
      <c r="J207" s="41">
        <f>J208</f>
        <v>1090.6516268980477</v>
      </c>
      <c r="O207" s="41" t="s">
        <v>248</v>
      </c>
    </row>
    <row r="208" spans="2:10" ht="14.25">
      <c r="B208" s="43"/>
      <c r="H208" s="39">
        <f>H211*54180/82980</f>
        <v>1538.7781634128703</v>
      </c>
      <c r="I208" s="39">
        <f>I211*54180/82980</f>
        <v>418.46182212581346</v>
      </c>
      <c r="J208" s="39">
        <f>J211*54180/82980</f>
        <v>1090.6516268980477</v>
      </c>
    </row>
    <row r="209" spans="1:16" s="41" customFormat="1" ht="14.25">
      <c r="A209" s="43" t="s">
        <v>245</v>
      </c>
      <c r="B209" s="43" t="s">
        <v>250</v>
      </c>
      <c r="C209" s="41" t="s">
        <v>249</v>
      </c>
      <c r="D209" s="41">
        <v>4101</v>
      </c>
      <c r="F209" s="41">
        <v>28800</v>
      </c>
      <c r="H209" s="41">
        <f>H210+H212</f>
        <v>900.0111781262565</v>
      </c>
      <c r="I209" s="41">
        <f>I210+I212</f>
        <v>244.7528347406514</v>
      </c>
      <c r="J209" s="41">
        <f>J210+J212</f>
        <v>637.9078407720145</v>
      </c>
      <c r="O209" s="41" t="s">
        <v>252</v>
      </c>
      <c r="P209" s="41">
        <v>28800</v>
      </c>
    </row>
    <row r="210" spans="1:10" s="42" customFormat="1" ht="14.25">
      <c r="A210" s="43"/>
      <c r="B210" s="43"/>
      <c r="C210" s="41"/>
      <c r="D210" s="41"/>
      <c r="E210" s="41"/>
      <c r="F210" s="41"/>
      <c r="H210" s="42">
        <f>H215*1</f>
        <v>81.26666666666667</v>
      </c>
      <c r="I210" s="42">
        <f>I215*1</f>
        <v>22.1</v>
      </c>
      <c r="J210" s="42">
        <f>J215*1</f>
        <v>57.6</v>
      </c>
    </row>
    <row r="211" spans="8:10" s="42" customFormat="1" ht="12.75">
      <c r="H211" s="42">
        <f>H214-H210</f>
        <v>2356.733333333333</v>
      </c>
      <c r="I211" s="42">
        <f>I214-I210</f>
        <v>640.9</v>
      </c>
      <c r="J211" s="42">
        <f>J214-J210</f>
        <v>1670.4</v>
      </c>
    </row>
    <row r="212" spans="8:10" s="42" customFormat="1" ht="12.75">
      <c r="H212" s="39">
        <f>H211*28800/82900</f>
        <v>818.7445114595898</v>
      </c>
      <c r="I212" s="39">
        <f>I211*28800/82900</f>
        <v>222.6528347406514</v>
      </c>
      <c r="J212" s="39">
        <f>J211*28800/82900</f>
        <v>580.3078407720145</v>
      </c>
    </row>
    <row r="213" spans="6:14" ht="15" thickBot="1">
      <c r="F213" s="33" t="s">
        <v>251</v>
      </c>
      <c r="G213" s="6" t="s">
        <v>18</v>
      </c>
      <c r="H213" s="40">
        <f aca="true" t="shared" si="31" ref="H213:M213">H207+H209</f>
        <v>2438.789341539127</v>
      </c>
      <c r="I213" s="40">
        <f t="shared" si="31"/>
        <v>663.2146568664648</v>
      </c>
      <c r="J213" s="40">
        <f t="shared" si="31"/>
        <v>1728.559467670062</v>
      </c>
      <c r="K213" s="40">
        <f t="shared" si="31"/>
        <v>0</v>
      </c>
      <c r="L213" s="40">
        <f t="shared" si="31"/>
        <v>0</v>
      </c>
      <c r="M213" s="40">
        <f t="shared" si="31"/>
        <v>0</v>
      </c>
      <c r="N213" s="40"/>
    </row>
    <row r="214" spans="8:10" ht="13.5" thickTop="1">
      <c r="H214" s="16">
        <v>2438</v>
      </c>
      <c r="I214" s="16">
        <v>663</v>
      </c>
      <c r="J214" s="16">
        <v>1728</v>
      </c>
    </row>
    <row r="215" spans="8:10" s="39" customFormat="1" ht="12.75">
      <c r="H215" s="39">
        <f>H214/30</f>
        <v>81.26666666666667</v>
      </c>
      <c r="I215" s="39">
        <f>I214/30</f>
        <v>22.1</v>
      </c>
      <c r="J215" s="39">
        <f>J214/30</f>
        <v>57.6</v>
      </c>
    </row>
    <row r="218" spans="1:16" ht="27">
      <c r="A218" s="30" t="s">
        <v>127</v>
      </c>
      <c r="B218" s="30" t="s">
        <v>128</v>
      </c>
      <c r="C218" s="30" t="s">
        <v>140</v>
      </c>
      <c r="D218" s="30" t="s">
        <v>129</v>
      </c>
      <c r="E218" s="30" t="s">
        <v>131</v>
      </c>
      <c r="F218" s="30" t="s">
        <v>201</v>
      </c>
      <c r="H218" s="30" t="s">
        <v>133</v>
      </c>
      <c r="I218" s="30" t="s">
        <v>134</v>
      </c>
      <c r="J218" s="30" t="s">
        <v>135</v>
      </c>
      <c r="K218" s="30" t="s">
        <v>136</v>
      </c>
      <c r="L218" s="30" t="s">
        <v>137</v>
      </c>
      <c r="M218" s="30" t="s">
        <v>138</v>
      </c>
      <c r="N218" s="25"/>
      <c r="O218" s="16" t="s">
        <v>202</v>
      </c>
      <c r="P218" s="16" t="s">
        <v>203</v>
      </c>
    </row>
    <row r="219" spans="1:15" s="41" customFormat="1" ht="14.25">
      <c r="A219" s="43" t="s">
        <v>247</v>
      </c>
      <c r="B219" s="43" t="s">
        <v>254</v>
      </c>
      <c r="C219" s="41" t="s">
        <v>253</v>
      </c>
      <c r="D219" s="41">
        <v>515108</v>
      </c>
      <c r="E219" s="41">
        <v>8901201</v>
      </c>
      <c r="F219" s="41">
        <v>7665</v>
      </c>
      <c r="H219" s="41">
        <f>H220</f>
        <v>421.6447078379648</v>
      </c>
      <c r="I219" s="41">
        <f>I220</f>
        <v>118.91880172008817</v>
      </c>
      <c r="J219" s="41">
        <f>J220</f>
        <v>310.22296100892567</v>
      </c>
      <c r="O219" s="41" t="s">
        <v>255</v>
      </c>
    </row>
    <row r="220" spans="2:10" ht="14.25">
      <c r="B220" s="43"/>
      <c r="H220" s="39">
        <f>H223*7665/27673</f>
        <v>421.6447078379648</v>
      </c>
      <c r="I220" s="39">
        <f>I223*7665/27673</f>
        <v>118.91880172008817</v>
      </c>
      <c r="J220" s="39">
        <f>J223*7665/27673</f>
        <v>310.22296100892567</v>
      </c>
    </row>
    <row r="221" spans="1:16" s="41" customFormat="1" ht="14.25">
      <c r="A221" s="43" t="s">
        <v>245</v>
      </c>
      <c r="B221" s="43" t="s">
        <v>254</v>
      </c>
      <c r="C221" s="41" t="s">
        <v>253</v>
      </c>
      <c r="D221" s="41">
        <v>4101</v>
      </c>
      <c r="F221" s="41">
        <v>20008</v>
      </c>
      <c r="H221" s="41">
        <f>H222+H224</f>
        <v>1209.355292162035</v>
      </c>
      <c r="I221" s="41">
        <f>I222+I224</f>
        <v>341.0811982799118</v>
      </c>
      <c r="J221" s="41">
        <f>J222+J224</f>
        <v>889.7770389910743</v>
      </c>
      <c r="O221" s="41" t="s">
        <v>252</v>
      </c>
      <c r="P221" s="41">
        <v>20008</v>
      </c>
    </row>
    <row r="222" spans="1:10" s="42" customFormat="1" ht="14.25">
      <c r="A222" s="43"/>
      <c r="B222" s="43"/>
      <c r="C222" s="41"/>
      <c r="D222" s="41"/>
      <c r="E222" s="41"/>
      <c r="F222" s="41"/>
      <c r="H222" s="42">
        <f>H227*2</f>
        <v>108.73333333333333</v>
      </c>
      <c r="I222" s="42">
        <f>I227*2</f>
        <v>30.666666666666668</v>
      </c>
      <c r="J222" s="42">
        <f>J227*2</f>
        <v>80</v>
      </c>
    </row>
    <row r="223" spans="8:10" s="42" customFormat="1" ht="12.75">
      <c r="H223" s="42">
        <f>H226-H222</f>
        <v>1522.2666666666667</v>
      </c>
      <c r="I223" s="42">
        <f>I226-I222</f>
        <v>429.3333333333333</v>
      </c>
      <c r="J223" s="42">
        <f>J226-J222</f>
        <v>1120</v>
      </c>
    </row>
    <row r="224" spans="8:10" s="42" customFormat="1" ht="12.75">
      <c r="H224" s="39">
        <f>H223*20008/27673</f>
        <v>1100.6219588287017</v>
      </c>
      <c r="I224" s="39">
        <f>I223*20008/27673</f>
        <v>310.4145316132451</v>
      </c>
      <c r="J224" s="39">
        <f>J223*20008/27673</f>
        <v>809.7770389910743</v>
      </c>
    </row>
    <row r="225" spans="6:14" ht="15" thickBot="1">
      <c r="F225" s="33" t="s">
        <v>251</v>
      </c>
      <c r="G225" s="6" t="s">
        <v>18</v>
      </c>
      <c r="H225" s="40">
        <f aca="true" t="shared" si="32" ref="H225:M225">H219+H221</f>
        <v>1631</v>
      </c>
      <c r="I225" s="40">
        <f t="shared" si="32"/>
        <v>460</v>
      </c>
      <c r="J225" s="40">
        <f t="shared" si="32"/>
        <v>1200</v>
      </c>
      <c r="K225" s="40">
        <f t="shared" si="32"/>
        <v>0</v>
      </c>
      <c r="L225" s="40">
        <f t="shared" si="32"/>
        <v>0</v>
      </c>
      <c r="M225" s="40">
        <f t="shared" si="32"/>
        <v>0</v>
      </c>
      <c r="N225" s="40"/>
    </row>
    <row r="226" spans="8:10" ht="13.5" thickTop="1">
      <c r="H226" s="16">
        <v>1631</v>
      </c>
      <c r="I226" s="16">
        <v>460</v>
      </c>
      <c r="J226" s="16">
        <v>1200</v>
      </c>
    </row>
    <row r="227" spans="8:10" s="39" customFormat="1" ht="12.75">
      <c r="H227" s="39">
        <f>H226/30</f>
        <v>54.36666666666667</v>
      </c>
      <c r="I227" s="39">
        <f>I226/30</f>
        <v>15.333333333333334</v>
      </c>
      <c r="J227" s="39">
        <f>J226/30</f>
        <v>40</v>
      </c>
    </row>
    <row r="230" spans="1:16" ht="27">
      <c r="A230" s="30" t="s">
        <v>127</v>
      </c>
      <c r="B230" s="30" t="s">
        <v>128</v>
      </c>
      <c r="C230" s="30" t="s">
        <v>140</v>
      </c>
      <c r="D230" s="30" t="s">
        <v>129</v>
      </c>
      <c r="E230" s="30" t="s">
        <v>131</v>
      </c>
      <c r="F230" s="30" t="s">
        <v>201</v>
      </c>
      <c r="H230" s="30" t="s">
        <v>133</v>
      </c>
      <c r="I230" s="30" t="s">
        <v>134</v>
      </c>
      <c r="J230" s="30" t="s">
        <v>135</v>
      </c>
      <c r="K230" s="30" t="s">
        <v>136</v>
      </c>
      <c r="L230" s="30" t="s">
        <v>137</v>
      </c>
      <c r="M230" s="30" t="s">
        <v>138</v>
      </c>
      <c r="N230" s="25"/>
      <c r="O230" s="16" t="s">
        <v>202</v>
      </c>
      <c r="P230" s="16" t="s">
        <v>261</v>
      </c>
    </row>
    <row r="231" spans="1:16" s="41" customFormat="1" ht="14.25">
      <c r="A231" s="43" t="s">
        <v>258</v>
      </c>
      <c r="B231" s="43" t="s">
        <v>259</v>
      </c>
      <c r="C231" s="41" t="s">
        <v>257</v>
      </c>
      <c r="D231" s="41">
        <v>514202</v>
      </c>
      <c r="E231" s="41">
        <v>52035</v>
      </c>
      <c r="F231" s="41">
        <v>8000</v>
      </c>
      <c r="H231" s="41">
        <v>242</v>
      </c>
      <c r="I231" s="41">
        <v>68</v>
      </c>
      <c r="J231" s="41">
        <v>139</v>
      </c>
      <c r="O231" s="41" t="s">
        <v>260</v>
      </c>
      <c r="P231" s="41">
        <v>8000</v>
      </c>
    </row>
    <row r="232" spans="2:10" ht="14.25">
      <c r="B232" s="43"/>
      <c r="H232" s="39"/>
      <c r="I232" s="39"/>
      <c r="J232" s="39"/>
    </row>
    <row r="233" spans="1:16" s="41" customFormat="1" ht="14.25">
      <c r="A233" s="43" t="s">
        <v>258</v>
      </c>
      <c r="B233" s="43" t="s">
        <v>259</v>
      </c>
      <c r="C233" s="41" t="s">
        <v>257</v>
      </c>
      <c r="D233" s="41">
        <v>514202</v>
      </c>
      <c r="E233" s="41">
        <v>52035</v>
      </c>
      <c r="F233" s="41">
        <v>11200</v>
      </c>
      <c r="H233" s="41">
        <f>H236+H234</f>
        <v>364.60769230769233</v>
      </c>
      <c r="I233" s="41">
        <f>I236+I234</f>
        <v>102.64615384615385</v>
      </c>
      <c r="J233" s="41">
        <f>J236+J234</f>
        <v>268.0205128205128</v>
      </c>
      <c r="O233" s="41" t="s">
        <v>262</v>
      </c>
      <c r="P233" s="41">
        <v>11200</v>
      </c>
    </row>
    <row r="234" spans="2:10" ht="14.25">
      <c r="B234" s="43"/>
      <c r="H234" s="39">
        <f>H243*8</f>
        <v>272.8</v>
      </c>
      <c r="I234" s="39">
        <f>I243*8</f>
        <v>76.8</v>
      </c>
      <c r="J234" s="39">
        <f>J243*8</f>
        <v>200.53333333333333</v>
      </c>
    </row>
    <row r="235" spans="2:10" ht="14.25">
      <c r="B235" s="43"/>
      <c r="H235" s="48">
        <f>H244-H234</f>
        <v>170.5</v>
      </c>
      <c r="I235" s="48">
        <f>I244-I234</f>
        <v>48</v>
      </c>
      <c r="J235" s="48">
        <f>J244-J234</f>
        <v>125.33333333333334</v>
      </c>
    </row>
    <row r="236" spans="2:10" ht="14.25">
      <c r="B236" s="43"/>
      <c r="H236" s="39">
        <f>H235*11200/20800</f>
        <v>91.8076923076923</v>
      </c>
      <c r="I236" s="39">
        <f>I235*11200/20800</f>
        <v>25.846153846153847</v>
      </c>
      <c r="J236" s="39">
        <f>J235*11200/20800</f>
        <v>67.48717948717949</v>
      </c>
    </row>
    <row r="237" spans="1:15" s="41" customFormat="1" ht="14.25">
      <c r="A237" s="43" t="s">
        <v>258</v>
      </c>
      <c r="B237" s="43" t="s">
        <v>259</v>
      </c>
      <c r="C237" s="41" t="s">
        <v>257</v>
      </c>
      <c r="D237" s="41">
        <v>514202</v>
      </c>
      <c r="E237" s="41">
        <v>68411</v>
      </c>
      <c r="F237" s="41">
        <v>9600</v>
      </c>
      <c r="H237" s="41">
        <f>H238+H240</f>
        <v>78.6923076923077</v>
      </c>
      <c r="I237" s="41">
        <f>I238+I240</f>
        <v>22.153846153846153</v>
      </c>
      <c r="J237" s="41">
        <f>J238+J240</f>
        <v>57.84615384615385</v>
      </c>
      <c r="O237" s="41" t="s">
        <v>263</v>
      </c>
    </row>
    <row r="238" spans="1:6" s="42" customFormat="1" ht="14.25">
      <c r="A238" s="43"/>
      <c r="B238" s="43"/>
      <c r="C238" s="41"/>
      <c r="D238" s="41"/>
      <c r="E238" s="41"/>
      <c r="F238" s="41"/>
    </row>
    <row r="239" s="42" customFormat="1" ht="12.75"/>
    <row r="240" spans="8:10" s="42" customFormat="1" ht="12.75">
      <c r="H240" s="39">
        <f>H235*9600/20800</f>
        <v>78.6923076923077</v>
      </c>
      <c r="I240" s="39">
        <f>I235*9600/20800</f>
        <v>22.153846153846153</v>
      </c>
      <c r="J240" s="39">
        <f>J235*9600/20800</f>
        <v>57.84615384615385</v>
      </c>
    </row>
    <row r="241" spans="6:14" ht="15" thickBot="1">
      <c r="F241" s="33" t="s">
        <v>256</v>
      </c>
      <c r="G241" s="6" t="s">
        <v>18</v>
      </c>
      <c r="H241" s="40">
        <f>H231+H237+H233</f>
        <v>685.3</v>
      </c>
      <c r="I241" s="40">
        <f>I231+I237+I233</f>
        <v>192.8</v>
      </c>
      <c r="J241" s="40">
        <f>J231+J237+J233</f>
        <v>464.8666666666667</v>
      </c>
      <c r="K241" s="40">
        <f>K231+K237</f>
        <v>0</v>
      </c>
      <c r="L241" s="40">
        <f>L231+L237</f>
        <v>0</v>
      </c>
      <c r="M241" s="40">
        <f>M231+M237</f>
        <v>0</v>
      </c>
      <c r="N241" s="40"/>
    </row>
    <row r="242" spans="8:14" ht="15" thickTop="1">
      <c r="H242" s="16">
        <v>1023</v>
      </c>
      <c r="I242" s="16">
        <v>288</v>
      </c>
      <c r="J242" s="16">
        <v>752</v>
      </c>
      <c r="N242" s="16" t="s">
        <v>269</v>
      </c>
    </row>
    <row r="243" spans="8:14" s="39" customFormat="1" ht="14.25">
      <c r="H243" s="39">
        <f>H242/30</f>
        <v>34.1</v>
      </c>
      <c r="I243" s="39">
        <f>I242/30</f>
        <v>9.6</v>
      </c>
      <c r="J243" s="39">
        <f>J242/30</f>
        <v>25.066666666666666</v>
      </c>
      <c r="N243" s="39" t="s">
        <v>270</v>
      </c>
    </row>
    <row r="244" spans="8:14" ht="14.25">
      <c r="H244" s="45">
        <f>H243*13</f>
        <v>443.3</v>
      </c>
      <c r="I244" s="45">
        <f>I243*13</f>
        <v>124.8</v>
      </c>
      <c r="J244" s="45">
        <f>J243*13</f>
        <v>325.8666666666667</v>
      </c>
      <c r="N244" s="16" t="s">
        <v>274</v>
      </c>
    </row>
    <row r="247" spans="1:16" ht="27">
      <c r="A247" s="30" t="s">
        <v>127</v>
      </c>
      <c r="B247" s="30" t="s">
        <v>128</v>
      </c>
      <c r="C247" s="30" t="s">
        <v>140</v>
      </c>
      <c r="D247" s="30" t="s">
        <v>129</v>
      </c>
      <c r="E247" s="30" t="s">
        <v>131</v>
      </c>
      <c r="F247" s="30" t="s">
        <v>201</v>
      </c>
      <c r="H247" s="30" t="s">
        <v>133</v>
      </c>
      <c r="I247" s="30" t="s">
        <v>134</v>
      </c>
      <c r="J247" s="30" t="s">
        <v>135</v>
      </c>
      <c r="K247" s="30" t="s">
        <v>136</v>
      </c>
      <c r="L247" s="30" t="s">
        <v>137</v>
      </c>
      <c r="M247" s="30" t="s">
        <v>138</v>
      </c>
      <c r="N247" s="25"/>
      <c r="O247" s="16" t="s">
        <v>202</v>
      </c>
      <c r="P247" s="16" t="s">
        <v>203</v>
      </c>
    </row>
    <row r="248" spans="1:16" s="41" customFormat="1" ht="14.25">
      <c r="A248" s="43" t="s">
        <v>258</v>
      </c>
      <c r="B248" s="43" t="s">
        <v>265</v>
      </c>
      <c r="C248" s="41" t="s">
        <v>264</v>
      </c>
      <c r="D248" s="41">
        <v>514202</v>
      </c>
      <c r="F248" s="41">
        <v>7000</v>
      </c>
      <c r="H248" s="46">
        <f>H249+H251</f>
        <v>173.33050847457628</v>
      </c>
      <c r="I248" s="46">
        <f>I249+I251</f>
        <v>48.83898305084746</v>
      </c>
      <c r="J248" s="46">
        <f>J249+J251</f>
        <v>86.1864406779661</v>
      </c>
      <c r="K248" s="46"/>
      <c r="L248" s="46"/>
      <c r="M248" s="46"/>
      <c r="O248" s="41" t="s">
        <v>268</v>
      </c>
      <c r="P248" s="41">
        <v>7000</v>
      </c>
    </row>
    <row r="249" spans="1:15" s="41" customFormat="1" ht="14.25">
      <c r="A249" s="43"/>
      <c r="B249" s="43"/>
      <c r="H249" s="41">
        <f>H256*1</f>
        <v>30.166666666666668</v>
      </c>
      <c r="I249" s="41">
        <f>I256*1</f>
        <v>8.5</v>
      </c>
      <c r="J249" s="41">
        <f>J256*1</f>
        <v>15</v>
      </c>
      <c r="N249" s="41" t="s">
        <v>272</v>
      </c>
      <c r="O249" s="44"/>
    </row>
    <row r="250" spans="1:14" s="41" customFormat="1" ht="14.25">
      <c r="A250" s="43"/>
      <c r="B250" s="43"/>
      <c r="H250" s="41">
        <f>H257-H249</f>
        <v>241.33333333333334</v>
      </c>
      <c r="I250" s="41">
        <f>I257-I249</f>
        <v>68</v>
      </c>
      <c r="J250" s="41">
        <f>J257-J249</f>
        <v>120</v>
      </c>
      <c r="N250" s="41" t="s">
        <v>273</v>
      </c>
    </row>
    <row r="251" spans="2:14" ht="14.25">
      <c r="B251" s="43"/>
      <c r="H251" s="39">
        <f>H250*7000/11800</f>
        <v>143.16384180790962</v>
      </c>
      <c r="I251" s="39">
        <f>I250*7000/11800</f>
        <v>40.33898305084746</v>
      </c>
      <c r="J251" s="39">
        <f>J250*7000/11800</f>
        <v>71.1864406779661</v>
      </c>
      <c r="N251" s="41" t="s">
        <v>282</v>
      </c>
    </row>
    <row r="252" spans="1:15" s="41" customFormat="1" ht="14.25">
      <c r="A252" s="43" t="s">
        <v>266</v>
      </c>
      <c r="B252" s="43" t="s">
        <v>265</v>
      </c>
      <c r="C252" s="41" t="s">
        <v>264</v>
      </c>
      <c r="D252" s="41">
        <v>3600005</v>
      </c>
      <c r="F252" s="41">
        <v>4800</v>
      </c>
      <c r="H252" s="46">
        <f>H253</f>
        <v>98.16949152542372</v>
      </c>
      <c r="I252" s="46">
        <f>I253</f>
        <v>27.661016949152543</v>
      </c>
      <c r="J252" s="46">
        <f>J253</f>
        <v>48.813559322033896</v>
      </c>
      <c r="K252" s="46"/>
      <c r="L252" s="46"/>
      <c r="M252" s="46"/>
      <c r="O252" s="41" t="s">
        <v>267</v>
      </c>
    </row>
    <row r="253" spans="2:14" ht="14.25">
      <c r="B253" s="43"/>
      <c r="H253" s="39">
        <f>H250*4800/11800</f>
        <v>98.16949152542372</v>
      </c>
      <c r="I253" s="39">
        <f>I250*4800/11800</f>
        <v>27.661016949152543</v>
      </c>
      <c r="J253" s="39">
        <f>J250*4800/11800</f>
        <v>48.813559322033896</v>
      </c>
      <c r="N253" s="41" t="s">
        <v>283</v>
      </c>
    </row>
    <row r="254" spans="5:14" ht="15" thickBot="1">
      <c r="E254" s="47" t="s">
        <v>275</v>
      </c>
      <c r="F254" s="33" t="s">
        <v>251</v>
      </c>
      <c r="G254" s="6" t="s">
        <v>18</v>
      </c>
      <c r="H254" s="40">
        <f aca="true" t="shared" si="33" ref="H254:M254">H248+H252</f>
        <v>271.5</v>
      </c>
      <c r="I254" s="40">
        <f t="shared" si="33"/>
        <v>76.5</v>
      </c>
      <c r="J254" s="40">
        <f t="shared" si="33"/>
        <v>135</v>
      </c>
      <c r="K254" s="40">
        <f t="shared" si="33"/>
        <v>0</v>
      </c>
      <c r="L254" s="40">
        <f t="shared" si="33"/>
        <v>0</v>
      </c>
      <c r="M254" s="40">
        <f t="shared" si="33"/>
        <v>0</v>
      </c>
      <c r="N254" s="40"/>
    </row>
    <row r="255" spans="8:16" ht="15" thickTop="1">
      <c r="H255" s="16">
        <v>905</v>
      </c>
      <c r="I255" s="16">
        <v>255</v>
      </c>
      <c r="J255" s="16">
        <v>450</v>
      </c>
      <c r="N255" s="16" t="s">
        <v>269</v>
      </c>
      <c r="P255" s="16">
        <v>7000</v>
      </c>
    </row>
    <row r="256" spans="8:14" s="39" customFormat="1" ht="14.25">
      <c r="H256" s="39">
        <f>H255/30</f>
        <v>30.166666666666668</v>
      </c>
      <c r="I256" s="39">
        <f>I255/30</f>
        <v>8.5</v>
      </c>
      <c r="J256" s="39">
        <f>J255/30</f>
        <v>15</v>
      </c>
      <c r="N256" s="39" t="s">
        <v>270</v>
      </c>
    </row>
    <row r="257" spans="8:16" ht="14.25">
      <c r="H257" s="45">
        <f>H256*9</f>
        <v>271.5</v>
      </c>
      <c r="I257" s="45">
        <f>I256*9</f>
        <v>76.5</v>
      </c>
      <c r="J257" s="45">
        <f>J256*9</f>
        <v>135</v>
      </c>
      <c r="K257" s="45"/>
      <c r="L257" s="45"/>
      <c r="M257" s="45"/>
      <c r="N257" s="16" t="s">
        <v>271</v>
      </c>
      <c r="P257" s="16">
        <v>7000</v>
      </c>
    </row>
    <row r="260" spans="1:16" ht="27">
      <c r="A260" s="30" t="s">
        <v>127</v>
      </c>
      <c r="B260" s="30" t="s">
        <v>128</v>
      </c>
      <c r="C260" s="30" t="s">
        <v>140</v>
      </c>
      <c r="D260" s="30" t="s">
        <v>129</v>
      </c>
      <c r="E260" s="30" t="s">
        <v>131</v>
      </c>
      <c r="F260" s="30" t="s">
        <v>201</v>
      </c>
      <c r="H260" s="30" t="s">
        <v>133</v>
      </c>
      <c r="I260" s="30" t="s">
        <v>134</v>
      </c>
      <c r="J260" s="30" t="s">
        <v>135</v>
      </c>
      <c r="K260" s="30" t="s">
        <v>136</v>
      </c>
      <c r="L260" s="30" t="s">
        <v>137</v>
      </c>
      <c r="M260" s="30" t="s">
        <v>138</v>
      </c>
      <c r="N260" s="25"/>
      <c r="O260" s="16" t="s">
        <v>202</v>
      </c>
      <c r="P260" s="16" t="s">
        <v>203</v>
      </c>
    </row>
    <row r="261" spans="1:15" s="41" customFormat="1" ht="14.25">
      <c r="A261" s="43" t="s">
        <v>258</v>
      </c>
      <c r="B261" s="43" t="s">
        <v>277</v>
      </c>
      <c r="C261" s="41" t="s">
        <v>276</v>
      </c>
      <c r="D261" s="41">
        <v>514202</v>
      </c>
      <c r="F261" s="41">
        <v>6400</v>
      </c>
      <c r="H261" s="46">
        <f>H262+H264</f>
        <v>318.6814070351759</v>
      </c>
      <c r="I261" s="46">
        <f>I262+I264</f>
        <v>90.01809045226129</v>
      </c>
      <c r="J261" s="46">
        <f>J262+J264</f>
        <v>234.45226130653268</v>
      </c>
      <c r="K261" s="46"/>
      <c r="L261" s="46"/>
      <c r="M261" s="46"/>
      <c r="O261" s="41" t="s">
        <v>278</v>
      </c>
    </row>
    <row r="262" spans="1:15" s="41" customFormat="1" ht="14.25">
      <c r="A262" s="43"/>
      <c r="B262" s="43"/>
      <c r="O262" s="44"/>
    </row>
    <row r="263" spans="1:2" s="41" customFormat="1" ht="14.25">
      <c r="A263" s="43"/>
      <c r="B263" s="43"/>
    </row>
    <row r="264" spans="2:14" ht="14.25">
      <c r="B264" s="43"/>
      <c r="H264" s="39">
        <f>H267*6400/19900</f>
        <v>318.6814070351759</v>
      </c>
      <c r="I264" s="39">
        <f>I267*6400/19900</f>
        <v>90.01809045226129</v>
      </c>
      <c r="J264" s="39">
        <f>J267*6400/19900</f>
        <v>234.45226130653268</v>
      </c>
      <c r="N264" s="41" t="s">
        <v>284</v>
      </c>
    </row>
    <row r="265" spans="1:16" s="41" customFormat="1" ht="14.25">
      <c r="A265" s="43" t="s">
        <v>247</v>
      </c>
      <c r="B265" s="43" t="s">
        <v>277</v>
      </c>
      <c r="C265" s="41" t="s">
        <v>276</v>
      </c>
      <c r="D265" s="41">
        <v>513218</v>
      </c>
      <c r="F265" s="41">
        <v>13500</v>
      </c>
      <c r="H265" s="46">
        <f>H266+H268</f>
        <v>782.3185929648241</v>
      </c>
      <c r="I265" s="46">
        <f>I266+I268</f>
        <v>220.98190954773867</v>
      </c>
      <c r="J265" s="46">
        <f>J266+J268</f>
        <v>575.5477386934674</v>
      </c>
      <c r="K265" s="46"/>
      <c r="L265" s="46"/>
      <c r="M265" s="46"/>
      <c r="O265" s="41" t="s">
        <v>279</v>
      </c>
      <c r="P265" s="41">
        <v>13500</v>
      </c>
    </row>
    <row r="266" spans="2:14" ht="14.25">
      <c r="B266" s="43"/>
      <c r="H266" s="39">
        <f>H271*3</f>
        <v>110.10000000000001</v>
      </c>
      <c r="I266" s="39">
        <f>I271*3</f>
        <v>31.1</v>
      </c>
      <c r="J266" s="39">
        <f>J271*3</f>
        <v>81</v>
      </c>
      <c r="N266" s="41" t="s">
        <v>280</v>
      </c>
    </row>
    <row r="267" spans="2:14" ht="14.25">
      <c r="B267" s="43"/>
      <c r="H267" s="39">
        <f>H270-H266</f>
        <v>990.9</v>
      </c>
      <c r="I267" s="39">
        <f>I270-I266</f>
        <v>279.9</v>
      </c>
      <c r="J267" s="39">
        <f>J270-J266</f>
        <v>729</v>
      </c>
      <c r="N267" s="41" t="s">
        <v>281</v>
      </c>
    </row>
    <row r="268" spans="2:14" ht="14.25">
      <c r="B268" s="43"/>
      <c r="H268" s="39">
        <f>H267*13500/19900</f>
        <v>672.2185929648241</v>
      </c>
      <c r="I268" s="39">
        <f>I267*13500/19900</f>
        <v>189.88190954773867</v>
      </c>
      <c r="J268" s="39">
        <f>J267*13500/19900</f>
        <v>494.54773869346735</v>
      </c>
      <c r="N268" s="41" t="s">
        <v>285</v>
      </c>
    </row>
    <row r="269" spans="5:14" ht="15" thickBot="1">
      <c r="E269" s="47" t="s">
        <v>275</v>
      </c>
      <c r="F269" s="33" t="s">
        <v>251</v>
      </c>
      <c r="G269" s="6" t="s">
        <v>18</v>
      </c>
      <c r="H269" s="40">
        <f aca="true" t="shared" si="34" ref="H269:M269">H261+H265</f>
        <v>1101</v>
      </c>
      <c r="I269" s="40">
        <f t="shared" si="34"/>
        <v>310.99999999999994</v>
      </c>
      <c r="J269" s="40">
        <f t="shared" si="34"/>
        <v>810.0000000000001</v>
      </c>
      <c r="K269" s="40">
        <f t="shared" si="34"/>
        <v>0</v>
      </c>
      <c r="L269" s="40">
        <f t="shared" si="34"/>
        <v>0</v>
      </c>
      <c r="M269" s="40">
        <f t="shared" si="34"/>
        <v>0</v>
      </c>
      <c r="N269" s="40"/>
    </row>
    <row r="270" spans="8:16" ht="15" thickTop="1">
      <c r="H270" s="16">
        <v>1101</v>
      </c>
      <c r="I270" s="16">
        <v>311</v>
      </c>
      <c r="J270" s="16">
        <v>810</v>
      </c>
      <c r="N270" s="16" t="s">
        <v>269</v>
      </c>
      <c r="P270" s="16">
        <v>13500</v>
      </c>
    </row>
    <row r="271" spans="8:14" s="39" customFormat="1" ht="14.25">
      <c r="H271" s="39">
        <f>H270/30</f>
        <v>36.7</v>
      </c>
      <c r="I271" s="39">
        <f>I270/30</f>
        <v>10.366666666666667</v>
      </c>
      <c r="J271" s="39">
        <f>J270/30</f>
        <v>27</v>
      </c>
      <c r="N271" s="39" t="s">
        <v>270</v>
      </c>
    </row>
    <row r="274" spans="1:16" ht="27">
      <c r="A274" s="30" t="s">
        <v>127</v>
      </c>
      <c r="B274" s="30" t="s">
        <v>128</v>
      </c>
      <c r="C274" s="30" t="s">
        <v>140</v>
      </c>
      <c r="D274" s="30" t="s">
        <v>129</v>
      </c>
      <c r="E274" s="30" t="s">
        <v>131</v>
      </c>
      <c r="F274" s="30" t="s">
        <v>201</v>
      </c>
      <c r="H274" s="30" t="s">
        <v>133</v>
      </c>
      <c r="I274" s="30" t="s">
        <v>134</v>
      </c>
      <c r="J274" s="30" t="s">
        <v>135</v>
      </c>
      <c r="K274" s="30" t="s">
        <v>136</v>
      </c>
      <c r="L274" s="30" t="s">
        <v>137</v>
      </c>
      <c r="M274" s="30" t="s">
        <v>138</v>
      </c>
      <c r="N274" s="25"/>
      <c r="O274" s="16" t="s">
        <v>202</v>
      </c>
      <c r="P274" s="16" t="s">
        <v>203</v>
      </c>
    </row>
    <row r="275" spans="1:16" s="41" customFormat="1" ht="14.25">
      <c r="A275" s="43" t="s">
        <v>258</v>
      </c>
      <c r="B275" s="43" t="s">
        <v>287</v>
      </c>
      <c r="C275" s="41" t="s">
        <v>286</v>
      </c>
      <c r="D275" s="41">
        <v>514202</v>
      </c>
      <c r="F275" s="41">
        <v>13600</v>
      </c>
      <c r="H275" s="46">
        <f>H276+H278</f>
        <v>1125.8636363636363</v>
      </c>
      <c r="I275" s="46">
        <f>I276+I278</f>
        <v>317.59090909090907</v>
      </c>
      <c r="J275" s="46">
        <f>J276+J278</f>
        <v>829.1363636363636</v>
      </c>
      <c r="K275" s="46"/>
      <c r="L275" s="46"/>
      <c r="M275" s="46"/>
      <c r="O275" s="41" t="s">
        <v>288</v>
      </c>
      <c r="P275" s="41">
        <v>17600</v>
      </c>
    </row>
    <row r="276" spans="1:15" s="41" customFormat="1" ht="14.25">
      <c r="A276" s="43"/>
      <c r="B276" s="43"/>
      <c r="O276" s="44"/>
    </row>
    <row r="277" spans="1:2" s="41" customFormat="1" ht="14.25">
      <c r="A277" s="43"/>
      <c r="B277" s="43"/>
    </row>
    <row r="278" spans="2:14" ht="14.25">
      <c r="B278" s="43"/>
      <c r="H278" s="39">
        <f>H284*13600/17600</f>
        <v>1125.8636363636363</v>
      </c>
      <c r="I278" s="39">
        <f>I284*13600/17600</f>
        <v>317.59090909090907</v>
      </c>
      <c r="J278" s="39">
        <f>J284*13600/17600</f>
        <v>829.1363636363636</v>
      </c>
      <c r="N278" s="41" t="s">
        <v>290</v>
      </c>
    </row>
    <row r="279" spans="1:16" s="41" customFormat="1" ht="14.25">
      <c r="A279" s="43" t="s">
        <v>247</v>
      </c>
      <c r="B279" s="43" t="s">
        <v>287</v>
      </c>
      <c r="C279" s="41" t="s">
        <v>286</v>
      </c>
      <c r="D279" s="41">
        <v>513218</v>
      </c>
      <c r="F279" s="41">
        <v>4000</v>
      </c>
      <c r="H279" s="46">
        <f>H280+H282</f>
        <v>331.1363636363636</v>
      </c>
      <c r="I279" s="46">
        <f>I280+I282</f>
        <v>93.4090909090909</v>
      </c>
      <c r="J279" s="46">
        <f>J280+J282</f>
        <v>243.86363636363637</v>
      </c>
      <c r="K279" s="46"/>
      <c r="L279" s="46"/>
      <c r="M279" s="46"/>
      <c r="O279" s="41" t="s">
        <v>289</v>
      </c>
      <c r="P279" s="41">
        <v>17600</v>
      </c>
    </row>
    <row r="280" spans="2:14" ht="14.25">
      <c r="B280" s="43"/>
      <c r="H280" s="39"/>
      <c r="I280" s="39"/>
      <c r="J280" s="39"/>
      <c r="N280" s="41"/>
    </row>
    <row r="281" spans="2:14" ht="14.25">
      <c r="B281" s="43"/>
      <c r="H281" s="39"/>
      <c r="I281" s="39"/>
      <c r="J281" s="39"/>
      <c r="N281" s="41"/>
    </row>
    <row r="282" spans="2:14" ht="14.25">
      <c r="B282" s="43"/>
      <c r="H282" s="39">
        <f>H284*4000/17600</f>
        <v>331.1363636363636</v>
      </c>
      <c r="I282" s="39">
        <f>I284*4000/17600</f>
        <v>93.4090909090909</v>
      </c>
      <c r="J282" s="39">
        <f>J284*4000/17600</f>
        <v>243.86363636363637</v>
      </c>
      <c r="N282" s="41" t="s">
        <v>290</v>
      </c>
    </row>
    <row r="283" spans="5:14" ht="15" thickBot="1">
      <c r="E283" s="47" t="s">
        <v>275</v>
      </c>
      <c r="F283" s="33" t="s">
        <v>251</v>
      </c>
      <c r="G283" s="6" t="s">
        <v>18</v>
      </c>
      <c r="H283" s="40">
        <f aca="true" t="shared" si="35" ref="H283:M283">H275+H279</f>
        <v>1457</v>
      </c>
      <c r="I283" s="40">
        <f t="shared" si="35"/>
        <v>411</v>
      </c>
      <c r="J283" s="40">
        <f t="shared" si="35"/>
        <v>1073</v>
      </c>
      <c r="K283" s="40">
        <f t="shared" si="35"/>
        <v>0</v>
      </c>
      <c r="L283" s="40">
        <f t="shared" si="35"/>
        <v>0</v>
      </c>
      <c r="M283" s="40">
        <f t="shared" si="35"/>
        <v>0</v>
      </c>
      <c r="N283" s="40"/>
    </row>
    <row r="284" spans="8:16" ht="15" thickTop="1">
      <c r="H284" s="16">
        <v>1457</v>
      </c>
      <c r="I284" s="16">
        <v>411</v>
      </c>
      <c r="J284" s="16">
        <v>1073</v>
      </c>
      <c r="N284" s="16" t="s">
        <v>269</v>
      </c>
      <c r="P284" s="16">
        <v>17600</v>
      </c>
    </row>
    <row r="285" spans="8:14" s="39" customFormat="1" ht="14.25">
      <c r="H285" s="39">
        <f>H284/30</f>
        <v>48.56666666666667</v>
      </c>
      <c r="I285" s="39">
        <f>I284/30</f>
        <v>13.7</v>
      </c>
      <c r="J285" s="39">
        <f>J284/30</f>
        <v>35.766666666666666</v>
      </c>
      <c r="N285" s="39" t="s">
        <v>270</v>
      </c>
    </row>
  </sheetData>
  <sheetProtection/>
  <mergeCells count="14">
    <mergeCell ref="A1:L1"/>
    <mergeCell ref="A6:L6"/>
    <mergeCell ref="A11:L11"/>
    <mergeCell ref="A15:L15"/>
    <mergeCell ref="A25:L25"/>
    <mergeCell ref="A31:L31"/>
    <mergeCell ref="A81:L81"/>
    <mergeCell ref="A89:L89"/>
    <mergeCell ref="A42:L42"/>
    <mergeCell ref="A49:L49"/>
    <mergeCell ref="A55:L55"/>
    <mergeCell ref="A64:L64"/>
    <mergeCell ref="A69:L69"/>
    <mergeCell ref="A76:L76"/>
  </mergeCells>
  <conditionalFormatting sqref="B105">
    <cfRule type="duplicateValues" priority="71" dxfId="71">
      <formula>AND(COUNTIF($B$105:$B$105,B105)&gt;1,NOT(ISBLANK(B105)))</formula>
    </cfRule>
  </conditionalFormatting>
  <conditionalFormatting sqref="B105">
    <cfRule type="duplicateValues" priority="70" dxfId="71">
      <formula>AND(COUNTIF($B$105:$B$105,B105)&gt;1,NOT(ISBLANK(B105)))</formula>
    </cfRule>
  </conditionalFormatting>
  <conditionalFormatting sqref="B106:B107">
    <cfRule type="duplicateValues" priority="68" dxfId="71">
      <formula>AND(COUNTIF($B$106:$B$107,B106)&gt;1,NOT(ISBLANK(B106)))</formula>
    </cfRule>
  </conditionalFormatting>
  <conditionalFormatting sqref="B106:B107">
    <cfRule type="duplicateValues" priority="69" dxfId="71">
      <formula>AND(COUNTIF($B$106:$B$107,B106)&gt;1,NOT(ISBLANK(B106)))</formula>
    </cfRule>
  </conditionalFormatting>
  <conditionalFormatting sqref="B106:B107">
    <cfRule type="duplicateValues" priority="66" dxfId="71">
      <formula>AND(COUNTIF($B$106:$B$107,B106)&gt;1,NOT(ISBLANK(B106)))</formula>
    </cfRule>
    <cfRule type="duplicateValues" priority="67" dxfId="71">
      <formula>AND(COUNTIF($B$106:$B$107,B106)&gt;1,NOT(ISBLANK(B106)))</formula>
    </cfRule>
  </conditionalFormatting>
  <conditionalFormatting sqref="B104">
    <cfRule type="duplicateValues" priority="65" dxfId="71">
      <formula>AND(COUNTIF($B$104:$B$104,B104)&gt;1,NOT(ISBLANK(B104)))</formula>
    </cfRule>
  </conditionalFormatting>
  <conditionalFormatting sqref="B104">
    <cfRule type="duplicateValues" priority="63" dxfId="71">
      <formula>AND(COUNTIF($B$104:$B$104,B104)&gt;1,NOT(ISBLANK(B104)))</formula>
    </cfRule>
    <cfRule type="duplicateValues" priority="64" dxfId="71">
      <formula>AND(COUNTIF($B$104:$B$104,B104)&gt;1,NOT(ISBLANK(B104)))</formula>
    </cfRule>
  </conditionalFormatting>
  <conditionalFormatting sqref="N105:N107">
    <cfRule type="expression" priority="62" dxfId="72">
      <formula>$K105="＊"</formula>
    </cfRule>
  </conditionalFormatting>
  <conditionalFormatting sqref="O105">
    <cfRule type="expression" priority="61" dxfId="72">
      <formula>$K105="＊"</formula>
    </cfRule>
  </conditionalFormatting>
  <conditionalFormatting sqref="B99">
    <cfRule type="duplicateValues" priority="60" dxfId="71">
      <formula>AND(COUNTIF($B$99:$B$99,B99)&gt;1,NOT(ISBLANK(B99)))</formula>
    </cfRule>
  </conditionalFormatting>
  <conditionalFormatting sqref="B99">
    <cfRule type="duplicateValues" priority="59" dxfId="71">
      <formula>AND(COUNTIF($B$99:$B$99,B99)&gt;1,NOT(ISBLANK(B99)))</formula>
    </cfRule>
  </conditionalFormatting>
  <conditionalFormatting sqref="B98">
    <cfRule type="duplicateValues" priority="58" dxfId="71">
      <formula>AND(COUNTIF($B$98:$B$98,B98)&gt;1,NOT(ISBLANK(B98)))</formula>
    </cfRule>
  </conditionalFormatting>
  <conditionalFormatting sqref="B98">
    <cfRule type="duplicateValues" priority="56" dxfId="71">
      <formula>AND(COUNTIF($B$98:$B$98,B98)&gt;1,NOT(ISBLANK(B98)))</formula>
    </cfRule>
    <cfRule type="duplicateValues" priority="57" dxfId="71">
      <formula>AND(COUNTIF($B$98:$B$98,B98)&gt;1,NOT(ISBLANK(B98)))</formula>
    </cfRule>
  </conditionalFormatting>
  <conditionalFormatting sqref="B100">
    <cfRule type="duplicateValues" priority="55" dxfId="71">
      <formula>AND(COUNTIF($B$100:$B$100,B100)&gt;1,NOT(ISBLANK(B100)))</formula>
    </cfRule>
  </conditionalFormatting>
  <conditionalFormatting sqref="B100">
    <cfRule type="duplicateValues" priority="54" dxfId="71">
      <formula>AND(COUNTIF($B$100:$B$100,B100)&gt;1,NOT(ISBLANK(B100)))</formula>
    </cfRule>
  </conditionalFormatting>
  <conditionalFormatting sqref="B113">
    <cfRule type="duplicateValues" priority="53" dxfId="71">
      <formula>AND(COUNTIF($B$113:$B$113,B113)&gt;1,NOT(ISBLANK(B113)))</formula>
    </cfRule>
  </conditionalFormatting>
  <conditionalFormatting sqref="B113">
    <cfRule type="duplicateValues" priority="51" dxfId="71">
      <formula>AND(COUNTIF($B$113:$B$113,B113)&gt;1,NOT(ISBLANK(B113)))</formula>
    </cfRule>
    <cfRule type="duplicateValues" priority="52" dxfId="71">
      <formula>AND(COUNTIF($B$113:$B$113,B113)&gt;1,NOT(ISBLANK(B113)))</formula>
    </cfRule>
  </conditionalFormatting>
  <conditionalFormatting sqref="B121">
    <cfRule type="duplicateValues" priority="50" dxfId="71">
      <formula>AND(COUNTIF($B$121:$B$121,B121)&gt;1,NOT(ISBLANK(B121)))</formula>
    </cfRule>
  </conditionalFormatting>
  <conditionalFormatting sqref="B121">
    <cfRule type="duplicateValues" priority="48" dxfId="71">
      <formula>AND(COUNTIF($B$121:$B$121,B121)&gt;1,NOT(ISBLANK(B121)))</formula>
    </cfRule>
    <cfRule type="duplicateValues" priority="49" dxfId="71">
      <formula>AND(COUNTIF($B$121:$B$121,B121)&gt;1,NOT(ISBLANK(B121)))</formula>
    </cfRule>
  </conditionalFormatting>
  <conditionalFormatting sqref="A132">
    <cfRule type="duplicateValues" priority="47" dxfId="71">
      <formula>AND(COUNTIF($A$132:$A$132,A132)&gt;1,NOT(ISBLANK(A132)))</formula>
    </cfRule>
  </conditionalFormatting>
  <conditionalFormatting sqref="A132">
    <cfRule type="duplicateValues" priority="45" dxfId="71">
      <formula>AND(COUNTIF($A$132:$A$132,A132)&gt;1,NOT(ISBLANK(A132)))</formula>
    </cfRule>
    <cfRule type="duplicateValues" priority="46" dxfId="71">
      <formula>AND(COUNTIF($A$132:$A$132,A132)&gt;1,NOT(ISBLANK(A132)))</formula>
    </cfRule>
  </conditionalFormatting>
  <conditionalFormatting sqref="A132:A133">
    <cfRule type="duplicateValues" priority="44" dxfId="71">
      <formula>AND(COUNTIF($A$132:$A$133,A132)&gt;1,NOT(ISBLANK(A132)))</formula>
    </cfRule>
  </conditionalFormatting>
  <conditionalFormatting sqref="A132:A133">
    <cfRule type="duplicateValues" priority="43" dxfId="71">
      <formula>AND(COUNTIF($A$132:$A$133,A132)&gt;1,NOT(ISBLANK(A132)))</formula>
    </cfRule>
  </conditionalFormatting>
  <conditionalFormatting sqref="A132:A133">
    <cfRule type="duplicateValues" priority="42" dxfId="71">
      <formula>AND(COUNTIF($A$132:$A$133,A132)&gt;1,NOT(ISBLANK(A132)))</formula>
    </cfRule>
  </conditionalFormatting>
  <conditionalFormatting sqref="A133">
    <cfRule type="duplicateValues" priority="39" dxfId="71">
      <formula>AND(COUNTIF($A$133:$A$133,A133)&gt;1,NOT(ISBLANK(A133)))</formula>
    </cfRule>
    <cfRule type="duplicateValues" priority="40" dxfId="71">
      <formula>AND(COUNTIF($A$133:$A$133,A133)&gt;1,NOT(ISBLANK(A133)))</formula>
    </cfRule>
  </conditionalFormatting>
  <conditionalFormatting sqref="A133">
    <cfRule type="duplicateValues" priority="41" dxfId="71">
      <formula>AND(COUNTIF($A$133:$A$133,A133)&gt;1,NOT(ISBLANK(A133)))</formula>
    </cfRule>
  </conditionalFormatting>
  <conditionalFormatting sqref="B139">
    <cfRule type="duplicateValues" priority="38" dxfId="71">
      <formula>AND(COUNTIF($B$139:$B$139,B139)&gt;1,NOT(ISBLANK(B139)))</formula>
    </cfRule>
  </conditionalFormatting>
  <conditionalFormatting sqref="B139">
    <cfRule type="duplicateValues" priority="36" dxfId="71">
      <formula>AND(COUNTIF($B$139:$B$139,B139)&gt;1,NOT(ISBLANK(B139)))</formula>
    </cfRule>
    <cfRule type="duplicateValues" priority="37" dxfId="71">
      <formula>AND(COUNTIF($B$139:$B$139,B139)&gt;1,NOT(ISBLANK(B139)))</formula>
    </cfRule>
  </conditionalFormatting>
  <conditionalFormatting sqref="B153">
    <cfRule type="duplicateValues" priority="35" dxfId="71">
      <formula>AND(COUNTIF($B$153:$B$153,B153)&gt;1,NOT(ISBLANK(B153)))</formula>
    </cfRule>
  </conditionalFormatting>
  <conditionalFormatting sqref="B153">
    <cfRule type="duplicateValues" priority="34" dxfId="71">
      <formula>AND(COUNTIF($B$153:$B$153,B153)&gt;1,NOT(ISBLANK(B153)))</formula>
    </cfRule>
  </conditionalFormatting>
  <conditionalFormatting sqref="B152">
    <cfRule type="duplicateValues" priority="33" dxfId="71">
      <formula>AND(COUNTIF($B$152:$B$152,B152)&gt;1,NOT(ISBLANK(B152)))</formula>
    </cfRule>
  </conditionalFormatting>
  <conditionalFormatting sqref="B152">
    <cfRule type="duplicateValues" priority="31" dxfId="71">
      <formula>AND(COUNTIF($B$152:$B$152,B152)&gt;1,NOT(ISBLANK(B152)))</formula>
    </cfRule>
    <cfRule type="duplicateValues" priority="32" dxfId="71">
      <formula>AND(COUNTIF($B$152:$B$152,B152)&gt;1,NOT(ISBLANK(B152)))</formula>
    </cfRule>
  </conditionalFormatting>
  <conditionalFormatting sqref="B161">
    <cfRule type="duplicateValues" priority="30" dxfId="71">
      <formula>AND(COUNTIF($B$161:$B$161,B161)&gt;1,NOT(ISBLANK(B161)))</formula>
    </cfRule>
  </conditionalFormatting>
  <conditionalFormatting sqref="B161">
    <cfRule type="duplicateValues" priority="28" dxfId="71">
      <formula>AND(COUNTIF($B$161:$B$161,B161)&gt;1,NOT(ISBLANK(B161)))</formula>
    </cfRule>
    <cfRule type="duplicateValues" priority="29" dxfId="71">
      <formula>AND(COUNTIF($B$161:$B$161,B161)&gt;1,NOT(ISBLANK(B161)))</formula>
    </cfRule>
  </conditionalFormatting>
  <conditionalFormatting sqref="C170">
    <cfRule type="duplicateValues" priority="27" dxfId="71">
      <formula>AND(COUNTIF($C$170:$C$170,C170)&gt;1,NOT(ISBLANK(C170)))</formula>
    </cfRule>
  </conditionalFormatting>
  <conditionalFormatting sqref="C170">
    <cfRule type="duplicateValues" priority="25" dxfId="71">
      <formula>AND(COUNTIF($C$170:$C$170,C170)&gt;1,NOT(ISBLANK(C170)))</formula>
    </cfRule>
    <cfRule type="duplicateValues" priority="26" dxfId="71">
      <formula>AND(COUNTIF($C$170:$C$170,C170)&gt;1,NOT(ISBLANK(C170)))</formula>
    </cfRule>
  </conditionalFormatting>
  <conditionalFormatting sqref="C181">
    <cfRule type="duplicateValues" priority="24" dxfId="71">
      <formula>AND(COUNTIF($C$181:$C$181,C181)&gt;1,NOT(ISBLANK(C181)))</formula>
    </cfRule>
  </conditionalFormatting>
  <conditionalFormatting sqref="C181">
    <cfRule type="duplicateValues" priority="22" dxfId="71">
      <formula>AND(COUNTIF($C$181:$C$181,C181)&gt;1,NOT(ISBLANK(C181)))</formula>
    </cfRule>
    <cfRule type="duplicateValues" priority="23" dxfId="71">
      <formula>AND(COUNTIF($C$181:$C$181,C181)&gt;1,NOT(ISBLANK(C181)))</formula>
    </cfRule>
  </conditionalFormatting>
  <conditionalFormatting sqref="C193">
    <cfRule type="duplicateValues" priority="21" dxfId="71">
      <formula>AND(COUNTIF($C$193:$C$193,C193)&gt;1,NOT(ISBLANK(C193)))</formula>
    </cfRule>
  </conditionalFormatting>
  <conditionalFormatting sqref="C193">
    <cfRule type="duplicateValues" priority="19" dxfId="71">
      <formula>AND(COUNTIF($C$193:$C$193,C193)&gt;1,NOT(ISBLANK(C193)))</formula>
    </cfRule>
    <cfRule type="duplicateValues" priority="20" dxfId="71">
      <formula>AND(COUNTIF($C$193:$C$193,C193)&gt;1,NOT(ISBLANK(C193)))</formula>
    </cfRule>
  </conditionalFormatting>
  <conditionalFormatting sqref="C206">
    <cfRule type="duplicateValues" priority="18" dxfId="71">
      <formula>AND(COUNTIF($C$206:$C$206,C206)&gt;1,NOT(ISBLANK(C206)))</formula>
    </cfRule>
  </conditionalFormatting>
  <conditionalFormatting sqref="C206">
    <cfRule type="duplicateValues" priority="16" dxfId="71">
      <formula>AND(COUNTIF($C$206:$C$206,C206)&gt;1,NOT(ISBLANK(C206)))</formula>
    </cfRule>
    <cfRule type="duplicateValues" priority="17" dxfId="71">
      <formula>AND(COUNTIF($C$206:$C$206,C206)&gt;1,NOT(ISBLANK(C206)))</formula>
    </cfRule>
  </conditionalFormatting>
  <conditionalFormatting sqref="C218">
    <cfRule type="duplicateValues" priority="15" dxfId="71">
      <formula>AND(COUNTIF($C$218:$C$218,C218)&gt;1,NOT(ISBLANK(C218)))</formula>
    </cfRule>
  </conditionalFormatting>
  <conditionalFormatting sqref="C218">
    <cfRule type="duplicateValues" priority="13" dxfId="71">
      <formula>AND(COUNTIF($C$218:$C$218,C218)&gt;1,NOT(ISBLANK(C218)))</formula>
    </cfRule>
    <cfRule type="duplicateValues" priority="14" dxfId="71">
      <formula>AND(COUNTIF($C$218:$C$218,C218)&gt;1,NOT(ISBLANK(C218)))</formula>
    </cfRule>
  </conditionalFormatting>
  <conditionalFormatting sqref="C230">
    <cfRule type="duplicateValues" priority="12" dxfId="71">
      <formula>AND(COUNTIF($C$230:$C$230,C230)&gt;1,NOT(ISBLANK(C230)))</formula>
    </cfRule>
  </conditionalFormatting>
  <conditionalFormatting sqref="C230">
    <cfRule type="duplicateValues" priority="10" dxfId="71">
      <formula>AND(COUNTIF($C$230:$C$230,C230)&gt;1,NOT(ISBLANK(C230)))</formula>
    </cfRule>
    <cfRule type="duplicateValues" priority="11" dxfId="71">
      <formula>AND(COUNTIF($C$230:$C$230,C230)&gt;1,NOT(ISBLANK(C230)))</formula>
    </cfRule>
  </conditionalFormatting>
  <conditionalFormatting sqref="C247">
    <cfRule type="duplicateValues" priority="9" dxfId="71">
      <formula>AND(COUNTIF($C$247:$C$247,C247)&gt;1,NOT(ISBLANK(C247)))</formula>
    </cfRule>
  </conditionalFormatting>
  <conditionalFormatting sqref="C247">
    <cfRule type="duplicateValues" priority="7" dxfId="71">
      <formula>AND(COUNTIF($C$247:$C$247,C247)&gt;1,NOT(ISBLANK(C247)))</formula>
    </cfRule>
    <cfRule type="duplicateValues" priority="8" dxfId="71">
      <formula>AND(COUNTIF($C$247:$C$247,C247)&gt;1,NOT(ISBLANK(C247)))</formula>
    </cfRule>
  </conditionalFormatting>
  <conditionalFormatting sqref="C260">
    <cfRule type="duplicateValues" priority="6" dxfId="71">
      <formula>AND(COUNTIF($C$260:$C$260,C260)&gt;1,NOT(ISBLANK(C260)))</formula>
    </cfRule>
  </conditionalFormatting>
  <conditionalFormatting sqref="C260">
    <cfRule type="duplicateValues" priority="4" dxfId="71">
      <formula>AND(COUNTIF($C$260:$C$260,C260)&gt;1,NOT(ISBLANK(C260)))</formula>
    </cfRule>
    <cfRule type="duplicateValues" priority="5" dxfId="71">
      <formula>AND(COUNTIF($C$260:$C$260,C260)&gt;1,NOT(ISBLANK(C260)))</formula>
    </cfRule>
  </conditionalFormatting>
  <conditionalFormatting sqref="C274">
    <cfRule type="duplicateValues" priority="3" dxfId="71">
      <formula>AND(COUNTIF($C$274:$C$274,C274)&gt;1,NOT(ISBLANK(C274)))</formula>
    </cfRule>
  </conditionalFormatting>
  <conditionalFormatting sqref="C274">
    <cfRule type="duplicateValues" priority="1" dxfId="71">
      <formula>AND(COUNTIF($C$274:$C$274,C274)&gt;1,NOT(ISBLANK(C274)))</formula>
    </cfRule>
    <cfRule type="duplicateValues" priority="2" dxfId="71">
      <formula>AND(COUNTIF($C$274:$C$274,C274)&gt;1,NOT(ISBLANK(C274)))</formula>
    </cfRule>
  </conditionalFormatting>
  <printOptions/>
  <pageMargins left="0.2" right="0.16" top="0.5511811023622047" bottom="0.7480314960629921" header="0.31496062992125984" footer="0.31496062992125984"/>
  <pageSetup fitToHeight="1" fitToWidth="1" horizontalDpi="600" verticalDpi="600" orientation="landscape" paperSize="9" scale="79" r:id="rId2"/>
  <rowBreaks count="1" manualBreakCount="1">
    <brk id="2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PER1</dc:creator>
  <cp:keywords/>
  <dc:description/>
  <cp:lastModifiedBy>Windows 使用者</cp:lastModifiedBy>
  <cp:lastPrinted>2023-10-31T03:49:08Z</cp:lastPrinted>
  <dcterms:created xsi:type="dcterms:W3CDTF">2003-01-06T02:19:21Z</dcterms:created>
  <dcterms:modified xsi:type="dcterms:W3CDTF">2024-01-03T01:15:09Z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